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tabRatio="763" firstSheet="5" activeTab="5"/>
  </bookViews>
  <sheets>
    <sheet name="Proposta Comercia " sheetId="1" state="hidden" r:id="rId1"/>
    <sheet name="CPU-01" sheetId="3" state="hidden" r:id="rId2"/>
    <sheet name="Proposta Comercia 22% " sheetId="7" state="hidden" r:id="rId3"/>
    <sheet name="CPU-01 22%" sheetId="5" state="hidden" r:id="rId4"/>
    <sheet name="CPU-01 (2)" sheetId="9" state="hidden" r:id="rId5"/>
    <sheet name="TAPA BURACO 2023" sheetId="10" r:id="rId6"/>
    <sheet name="08.11" sheetId="48" state="hidden" r:id="rId7"/>
    <sheet name="09.11" sheetId="49" state="hidden" r:id="rId8"/>
    <sheet name="26.10" sheetId="35" state="hidden" r:id="rId9"/>
    <sheet name="27.10" sheetId="41" state="hidden" r:id="rId10"/>
    <sheet name="30.10" sheetId="42" state="hidden" r:id="rId11"/>
    <sheet name="31.10" sheetId="43" state="hidden" r:id="rId12"/>
    <sheet name="01.11" sheetId="44" state="hidden" r:id="rId13"/>
    <sheet name="03.11" sheetId="45" state="hidden" r:id="rId14"/>
    <sheet name="06.11" sheetId="46" state="hidden" r:id="rId15"/>
    <sheet name="07.11 " sheetId="47" state="hidden" r:id="rId16"/>
    <sheet name="Plan. Prefeitura" sheetId="4" state="hidden" r:id="rId17"/>
    <sheet name="CPU-01 MC.22%" sheetId="8" state="hidden" r:id="rId18"/>
  </sheets>
  <definedNames>
    <definedName name="_xlnm._FilterDatabase" localSheetId="5" hidden="1">'TAPA BURACO 2023'!$C$8:$P$8</definedName>
    <definedName name="_xlnm.Print_Area" localSheetId="12">'01.11'!$A$1:$H$82</definedName>
    <definedName name="_xlnm.Print_Area" localSheetId="13">'03.11'!$A$1:$H$82</definedName>
    <definedName name="_xlnm.Print_Area" localSheetId="14">'06.11'!$A$1:$H$82</definedName>
    <definedName name="_xlnm.Print_Area" localSheetId="15">'07.11 '!$A$1:$H$82</definedName>
    <definedName name="_xlnm.Print_Area" localSheetId="6">'08.11'!$A$1:$H$82</definedName>
    <definedName name="_xlnm.Print_Area" localSheetId="7">'09.11'!$A$1:$H$82</definedName>
    <definedName name="_xlnm.Print_Area" localSheetId="8">'26.10'!$A$1:$H$38</definedName>
    <definedName name="_xlnm.Print_Area" localSheetId="9">'27.10'!$A$1:$H$72</definedName>
    <definedName name="_xlnm.Print_Area" localSheetId="10">'30.10'!$A$1:$H$72</definedName>
    <definedName name="_xlnm.Print_Area" localSheetId="11">'31.10'!$A$1:$H$82</definedName>
    <definedName name="_xlnm.Print_Area" localSheetId="1">'CPU-01'!$A$1:$O$36</definedName>
    <definedName name="_xlnm.Print_Area" localSheetId="4">'CPU-01 (2)'!$A$1:$O$36</definedName>
    <definedName name="_xlnm.Print_Area" localSheetId="3">'CPU-01 22%'!$A$1:$O$36</definedName>
    <definedName name="_xlnm.Print_Area" localSheetId="17">'CPU-01 MC.22%'!$A$1:$O$36</definedName>
    <definedName name="_xlnm.Print_Area" localSheetId="5">'TAPA BURACO 2023'!$A$1:$P$31</definedName>
    <definedName name="_xlnm.Print_Titles" localSheetId="0">'Proposta Comercia '!$1:$5</definedName>
    <definedName name="_xlnm.Print_Titles" localSheetId="2">'Proposta Comercia 22% '!$1:$5</definedName>
  </definedNames>
  <calcPr calcId="145621"/>
</workbook>
</file>

<file path=xl/calcChain.xml><?xml version="1.0" encoding="utf-8"?>
<calcChain xmlns="http://schemas.openxmlformats.org/spreadsheetml/2006/main">
  <c r="K11" i="10" l="1"/>
  <c r="N11" i="10" l="1"/>
  <c r="P11" i="10" s="1"/>
  <c r="O11" i="10"/>
  <c r="K12" i="10" l="1"/>
  <c r="N15" i="10" l="1"/>
  <c r="P15" i="10" s="1"/>
  <c r="O14" i="10"/>
  <c r="N14" i="10"/>
  <c r="P14" i="10" s="1"/>
  <c r="P13" i="10" l="1"/>
  <c r="O15" i="10"/>
  <c r="O13" i="10" s="1"/>
  <c r="O10" i="10"/>
  <c r="N10" i="10" l="1"/>
  <c r="P10" i="10" s="1"/>
  <c r="O12" i="10" l="1"/>
  <c r="O9" i="10" s="1"/>
  <c r="O16" i="10" s="1"/>
  <c r="N12" i="10"/>
  <c r="P12" i="10" s="1"/>
  <c r="P9" i="10" s="1"/>
  <c r="P16" i="10" s="1"/>
  <c r="I80" i="49" l="1"/>
  <c r="I81" i="49" s="1"/>
  <c r="E78" i="49"/>
  <c r="G78" i="49" s="1"/>
  <c r="G79" i="49" s="1"/>
  <c r="E77" i="49"/>
  <c r="G77" i="49" s="1"/>
  <c r="G70" i="49"/>
  <c r="H80" i="49" s="1"/>
  <c r="G67" i="49"/>
  <c r="G66" i="49"/>
  <c r="I70" i="49" s="1"/>
  <c r="I71" i="49" s="1"/>
  <c r="G65" i="49"/>
  <c r="H75" i="49" s="1"/>
  <c r="F59" i="49"/>
  <c r="F58" i="49"/>
  <c r="F57" i="49"/>
  <c r="F56" i="49"/>
  <c r="E50" i="49"/>
  <c r="F49" i="49"/>
  <c r="A45" i="49"/>
  <c r="G41" i="49"/>
  <c r="D14" i="49"/>
  <c r="D13" i="49"/>
  <c r="D12" i="49"/>
  <c r="D11" i="49"/>
  <c r="D10" i="49"/>
  <c r="D9" i="49"/>
  <c r="D8" i="49"/>
  <c r="D7" i="49"/>
  <c r="G66" i="46"/>
  <c r="G7" i="49" l="1"/>
  <c r="F48" i="49" s="1"/>
  <c r="F51" i="49" s="1"/>
  <c r="E68" i="49"/>
  <c r="G68" i="49" s="1"/>
  <c r="H76" i="49"/>
  <c r="F50" i="49"/>
  <c r="G51" i="49" s="1"/>
  <c r="H77" i="49"/>
  <c r="G69" i="49"/>
  <c r="H79" i="49" s="1"/>
  <c r="H78" i="49"/>
  <c r="H41" i="49"/>
  <c r="G49" i="49"/>
  <c r="F49" i="48" l="1"/>
  <c r="E78" i="48"/>
  <c r="G78" i="48" s="1"/>
  <c r="G79" i="48" s="1"/>
  <c r="G70" i="48"/>
  <c r="G65" i="48"/>
  <c r="E68" i="48" s="1"/>
  <c r="G68" i="48" s="1"/>
  <c r="G66" i="48"/>
  <c r="I70" i="48" s="1"/>
  <c r="I71" i="48" s="1"/>
  <c r="E77" i="48"/>
  <c r="G77" i="48" s="1"/>
  <c r="I80" i="48"/>
  <c r="I81" i="48" s="1"/>
  <c r="H75" i="48"/>
  <c r="H80" i="48"/>
  <c r="F57" i="48"/>
  <c r="F58" i="48" s="1"/>
  <c r="F56" i="48"/>
  <c r="F59" i="48" s="1"/>
  <c r="E50" i="48"/>
  <c r="F50" i="48" s="1"/>
  <c r="A45" i="48"/>
  <c r="G41" i="48"/>
  <c r="D14" i="48"/>
  <c r="D13" i="48"/>
  <c r="D12" i="48"/>
  <c r="D11" i="48"/>
  <c r="D10" i="48"/>
  <c r="D9" i="48"/>
  <c r="D8" i="48"/>
  <c r="D7" i="48"/>
  <c r="G7" i="48" l="1"/>
  <c r="G67" i="48"/>
  <c r="G49" i="48"/>
  <c r="H77" i="48"/>
  <c r="H78" i="48"/>
  <c r="G69" i="48"/>
  <c r="H79" i="48" s="1"/>
  <c r="G51" i="48"/>
  <c r="H41" i="48"/>
  <c r="F48" i="48"/>
  <c r="F51" i="48" s="1"/>
  <c r="H76" i="48"/>
  <c r="A45" i="47"/>
  <c r="E50" i="47"/>
  <c r="G78" i="47"/>
  <c r="G79" i="47" s="1"/>
  <c r="G76" i="47"/>
  <c r="I80" i="47" s="1"/>
  <c r="I81" i="47" s="1"/>
  <c r="G80" i="47"/>
  <c r="G75" i="47"/>
  <c r="E77" i="47"/>
  <c r="G65" i="47"/>
  <c r="G66" i="47"/>
  <c r="D22" i="46"/>
  <c r="D21" i="46"/>
  <c r="D20" i="46"/>
  <c r="D19" i="46"/>
  <c r="D18" i="46"/>
  <c r="D17" i="46"/>
  <c r="D16" i="46"/>
  <c r="D15" i="46"/>
  <c r="E50" i="46"/>
  <c r="I70" i="47"/>
  <c r="I71" i="47" s="1"/>
  <c r="G70" i="47"/>
  <c r="H80" i="47" s="1"/>
  <c r="E69" i="47"/>
  <c r="G67" i="47"/>
  <c r="H75" i="47"/>
  <c r="F57" i="47"/>
  <c r="F58" i="47" s="1"/>
  <c r="F56" i="47"/>
  <c r="F59" i="47" s="1"/>
  <c r="F49" i="47"/>
  <c r="G41" i="47"/>
  <c r="D14" i="47"/>
  <c r="D13" i="47"/>
  <c r="D12" i="47"/>
  <c r="D11" i="47"/>
  <c r="D10" i="47"/>
  <c r="D9" i="47"/>
  <c r="D8" i="47"/>
  <c r="D7" i="47"/>
  <c r="H76" i="47" l="1"/>
  <c r="E68" i="47"/>
  <c r="G68" i="47" s="1"/>
  <c r="G7" i="47"/>
  <c r="H41" i="47" s="1"/>
  <c r="F50" i="47"/>
  <c r="G51" i="47" s="1"/>
  <c r="G77" i="47"/>
  <c r="H77" i="47" s="1"/>
  <c r="F48" i="47"/>
  <c r="F51" i="47" s="1"/>
  <c r="G49" i="47"/>
  <c r="H78" i="47" l="1"/>
  <c r="G69" i="47"/>
  <c r="H79" i="47" s="1"/>
  <c r="F49" i="46"/>
  <c r="F50" i="46" s="1"/>
  <c r="E69" i="46"/>
  <c r="G65" i="46"/>
  <c r="H75" i="46" s="1"/>
  <c r="G70" i="46"/>
  <c r="H80" i="46" s="1"/>
  <c r="G78" i="46"/>
  <c r="G79" i="46" s="1"/>
  <c r="G77" i="46"/>
  <c r="I80" i="46"/>
  <c r="I81" i="46" s="1"/>
  <c r="G67" i="46"/>
  <c r="H76" i="46"/>
  <c r="F57" i="46"/>
  <c r="F58" i="46" s="1"/>
  <c r="F56" i="46"/>
  <c r="F59" i="46" s="1"/>
  <c r="A45" i="46"/>
  <c r="G41" i="46"/>
  <c r="D14" i="46"/>
  <c r="D13" i="46"/>
  <c r="D12" i="46"/>
  <c r="D11" i="46"/>
  <c r="D10" i="46"/>
  <c r="D9" i="46"/>
  <c r="D8" i="46"/>
  <c r="D7" i="46"/>
  <c r="E68" i="46" l="1"/>
  <c r="G68" i="46" s="1"/>
  <c r="G69" i="46" s="1"/>
  <c r="H79" i="46" s="1"/>
  <c r="G7" i="46"/>
  <c r="F48" i="46" s="1"/>
  <c r="F51" i="46" s="1"/>
  <c r="G51" i="46"/>
  <c r="H77" i="46"/>
  <c r="I70" i="46"/>
  <c r="I71" i="46" s="1"/>
  <c r="G49" i="46"/>
  <c r="H78" i="46" l="1"/>
  <c r="H41" i="46"/>
  <c r="F49" i="44"/>
  <c r="E77" i="45" l="1"/>
  <c r="G76" i="45"/>
  <c r="G66" i="45"/>
  <c r="G80" i="45"/>
  <c r="G70" i="45"/>
  <c r="E67" i="45" l="1"/>
  <c r="F57" i="45"/>
  <c r="F58" i="45" s="1"/>
  <c r="F49" i="45"/>
  <c r="E50" i="45"/>
  <c r="F50" i="45" s="1"/>
  <c r="D14" i="45"/>
  <c r="D13" i="45"/>
  <c r="D12" i="45"/>
  <c r="D11" i="45"/>
  <c r="E79" i="45"/>
  <c r="E78" i="45"/>
  <c r="G78" i="45" s="1"/>
  <c r="G77" i="45"/>
  <c r="H80" i="45"/>
  <c r="E69" i="45"/>
  <c r="H76" i="45"/>
  <c r="E68" i="45"/>
  <c r="G68" i="45" s="1"/>
  <c r="F56" i="45"/>
  <c r="F59" i="45" s="1"/>
  <c r="G49" i="45"/>
  <c r="A45" i="45"/>
  <c r="G41" i="45"/>
  <c r="D10" i="45"/>
  <c r="D9" i="45"/>
  <c r="D8" i="45"/>
  <c r="D7" i="45"/>
  <c r="G79" i="45" l="1"/>
  <c r="G51" i="45"/>
  <c r="G7" i="45"/>
  <c r="F48" i="45" s="1"/>
  <c r="F51" i="45" s="1"/>
  <c r="H78" i="45"/>
  <c r="G69" i="45"/>
  <c r="I80" i="45"/>
  <c r="I81" i="45" s="1"/>
  <c r="G67" i="45"/>
  <c r="H75" i="45"/>
  <c r="I70" i="45"/>
  <c r="I71" i="45" s="1"/>
  <c r="H79" i="45" l="1"/>
  <c r="H77" i="45"/>
  <c r="H41" i="45"/>
  <c r="G66" i="42"/>
  <c r="G80" i="44" l="1"/>
  <c r="G76" i="44"/>
  <c r="G70" i="44"/>
  <c r="G65" i="44"/>
  <c r="G66" i="44"/>
  <c r="E67" i="44"/>
  <c r="E50" i="44" l="1"/>
  <c r="G78" i="44"/>
  <c r="G79" i="44" s="1"/>
  <c r="G77" i="44"/>
  <c r="I80" i="44"/>
  <c r="I81" i="44" s="1"/>
  <c r="H75" i="44"/>
  <c r="H80" i="44"/>
  <c r="E69" i="44"/>
  <c r="G67" i="44"/>
  <c r="H76" i="44"/>
  <c r="E68" i="44"/>
  <c r="G68" i="44" s="1"/>
  <c r="F58" i="44"/>
  <c r="F56" i="44"/>
  <c r="F59" i="44" s="1"/>
  <c r="A45" i="44"/>
  <c r="G41" i="44"/>
  <c r="D10" i="44"/>
  <c r="D9" i="44"/>
  <c r="D8" i="44"/>
  <c r="D7" i="44"/>
  <c r="G80" i="43"/>
  <c r="G76" i="43"/>
  <c r="G77" i="43" s="1"/>
  <c r="E77" i="43"/>
  <c r="G70" i="43"/>
  <c r="H80" i="43" s="1"/>
  <c r="G65" i="43"/>
  <c r="H75" i="43" s="1"/>
  <c r="E79" i="43"/>
  <c r="E78" i="43"/>
  <c r="G78" i="43" s="1"/>
  <c r="G66" i="43"/>
  <c r="E50" i="43"/>
  <c r="E69" i="43"/>
  <c r="E67" i="43"/>
  <c r="G67" i="43" s="1"/>
  <c r="E68" i="43"/>
  <c r="G68" i="43" s="1"/>
  <c r="F58" i="43"/>
  <c r="F56" i="43"/>
  <c r="F59" i="43" s="1"/>
  <c r="F49" i="43"/>
  <c r="G49" i="43" s="1"/>
  <c r="A45" i="43"/>
  <c r="G41"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D32" i="42"/>
  <c r="D31" i="42"/>
  <c r="D30" i="42"/>
  <c r="D29" i="42"/>
  <c r="D28" i="42"/>
  <c r="D27" i="42"/>
  <c r="D26" i="42"/>
  <c r="D25" i="42"/>
  <c r="D24" i="42"/>
  <c r="D23" i="42"/>
  <c r="D22" i="42"/>
  <c r="I70" i="42"/>
  <c r="I71" i="42" s="1"/>
  <c r="G70" i="42"/>
  <c r="G65" i="42"/>
  <c r="E68" i="42" s="1"/>
  <c r="E69" i="42"/>
  <c r="E67" i="42"/>
  <c r="H76" i="43" l="1"/>
  <c r="I80" i="43"/>
  <c r="I81" i="43" s="1"/>
  <c r="F50" i="43"/>
  <c r="G51" i="43" s="1"/>
  <c r="G79" i="43"/>
  <c r="H77" i="43"/>
  <c r="H77" i="44"/>
  <c r="F50" i="44"/>
  <c r="G51" i="44" s="1"/>
  <c r="H78" i="43"/>
  <c r="G7" i="44"/>
  <c r="F48" i="44" s="1"/>
  <c r="F51" i="44" s="1"/>
  <c r="H78" i="44"/>
  <c r="G69" i="44"/>
  <c r="H79" i="44" s="1"/>
  <c r="G49" i="44"/>
  <c r="I70" i="44"/>
  <c r="I71" i="44" s="1"/>
  <c r="G69" i="43"/>
  <c r="G7" i="43"/>
  <c r="H41" i="43" s="1"/>
  <c r="I70" i="43"/>
  <c r="I71" i="43" s="1"/>
  <c r="H79" i="43" l="1"/>
  <c r="H41" i="44"/>
  <c r="F48" i="43"/>
  <c r="F51" i="43" s="1"/>
  <c r="F49" i="42" l="1"/>
  <c r="G67" i="42" l="1"/>
  <c r="G68" i="42"/>
  <c r="F58" i="42"/>
  <c r="E50" i="42"/>
  <c r="F50" i="42" s="1"/>
  <c r="G49" i="42"/>
  <c r="A45" i="42"/>
  <c r="G41" i="42"/>
  <c r="D21" i="42"/>
  <c r="D20" i="42"/>
  <c r="D19" i="42"/>
  <c r="D18" i="42"/>
  <c r="D17" i="42"/>
  <c r="D16" i="42"/>
  <c r="D15" i="42"/>
  <c r="D14" i="42"/>
  <c r="D13" i="42"/>
  <c r="D12" i="42"/>
  <c r="D11" i="42"/>
  <c r="D10" i="42"/>
  <c r="D9" i="42"/>
  <c r="D8" i="42"/>
  <c r="D7" i="42"/>
  <c r="D21" i="41"/>
  <c r="G70" i="41"/>
  <c r="G66" i="41"/>
  <c r="E67" i="41"/>
  <c r="E58" i="41"/>
  <c r="A53" i="41"/>
  <c r="F57" i="41"/>
  <c r="F49" i="41"/>
  <c r="G49" i="41" s="1"/>
  <c r="D20" i="41"/>
  <c r="D19" i="41"/>
  <c r="D18" i="41"/>
  <c r="D17" i="41"/>
  <c r="D16" i="41"/>
  <c r="D15" i="41"/>
  <c r="G7" i="42" l="1"/>
  <c r="G15" i="41"/>
  <c r="F56" i="41" s="1"/>
  <c r="F59" i="41" s="1"/>
  <c r="G69" i="42"/>
  <c r="F56" i="42"/>
  <c r="F59" i="42" s="1"/>
  <c r="G51" i="42"/>
  <c r="F58" i="41"/>
  <c r="G67" i="41"/>
  <c r="G65" i="41"/>
  <c r="E68" i="41" s="1"/>
  <c r="G68" i="41" s="1"/>
  <c r="G69" i="41" s="1"/>
  <c r="E50" i="41"/>
  <c r="F50" i="41" s="1"/>
  <c r="A45" i="41"/>
  <c r="G41" i="41"/>
  <c r="D14" i="41"/>
  <c r="D13" i="41"/>
  <c r="D12" i="41"/>
  <c r="D11" i="41"/>
  <c r="D10" i="41"/>
  <c r="D9" i="41"/>
  <c r="D8" i="41"/>
  <c r="D7" i="41"/>
  <c r="E23" i="35"/>
  <c r="G36" i="35"/>
  <c r="E33" i="35"/>
  <c r="A18" i="35"/>
  <c r="G7" i="41" l="1"/>
  <c r="F48" i="41" s="1"/>
  <c r="H41" i="41"/>
  <c r="H41" i="42"/>
  <c r="F48" i="42"/>
  <c r="F51" i="42" s="1"/>
  <c r="G51" i="41"/>
  <c r="F51" i="41"/>
  <c r="G31" i="35" l="1"/>
  <c r="G32" i="35"/>
  <c r="F22" i="35"/>
  <c r="G33" i="35" l="1"/>
  <c r="F23" i="35"/>
  <c r="D15" i="35"/>
  <c r="D14" i="35"/>
  <c r="D13" i="35"/>
  <c r="D12" i="35"/>
  <c r="D11" i="35"/>
  <c r="D10" i="35"/>
  <c r="D9" i="35"/>
  <c r="D8" i="35"/>
  <c r="G8" i="35" l="1"/>
  <c r="F21" i="35" s="1"/>
  <c r="F24" i="35" s="1"/>
  <c r="E34" i="35"/>
  <c r="G34" i="35" s="1"/>
  <c r="G35" i="35" s="1"/>
  <c r="N7" i="9" l="1"/>
  <c r="R36" i="9" l="1"/>
  <c r="O30" i="9"/>
  <c r="O29" i="9"/>
  <c r="O31" i="9" s="1"/>
  <c r="O26" i="9"/>
  <c r="O25" i="9"/>
  <c r="O24" i="9"/>
  <c r="O23" i="9"/>
  <c r="O22" i="9"/>
  <c r="O21" i="9"/>
  <c r="O20" i="9"/>
  <c r="O19" i="9"/>
  <c r="O18" i="9"/>
  <c r="O17" i="9"/>
  <c r="O15" i="9"/>
  <c r="O14" i="9"/>
  <c r="O13" i="9"/>
  <c r="O12" i="9"/>
  <c r="O11" i="9"/>
  <c r="O8" i="9"/>
  <c r="O7" i="9"/>
  <c r="O9" i="9" l="1"/>
  <c r="O27" i="9"/>
  <c r="R3" i="9"/>
  <c r="O36" i="9" l="1"/>
  <c r="R37" i="9" l="1"/>
  <c r="S24" i="9" s="1"/>
  <c r="T24" i="9" s="1"/>
  <c r="S10" i="9"/>
  <c r="T10" i="9" s="1"/>
  <c r="S7" i="9"/>
  <c r="T7" i="9" s="1"/>
  <c r="S26" i="9"/>
  <c r="T26" i="9" s="1"/>
  <c r="S22" i="9"/>
  <c r="T22" i="9" s="1"/>
  <c r="S11" i="9"/>
  <c r="T11" i="9" s="1"/>
  <c r="S8" i="9"/>
  <c r="T8" i="9" s="1"/>
  <c r="S19" i="9"/>
  <c r="T19" i="9" s="1"/>
  <c r="S12" i="9"/>
  <c r="T12" i="9" s="1"/>
  <c r="S13" i="9"/>
  <c r="T13" i="9" s="1"/>
  <c r="S9" i="9" l="1"/>
  <c r="T9" i="9" s="1"/>
  <c r="S27" i="9"/>
  <c r="T27" i="9" s="1"/>
  <c r="S18" i="9"/>
  <c r="T18" i="9" s="1"/>
  <c r="S6" i="9"/>
  <c r="T6" i="9" s="1"/>
  <c r="S17" i="9"/>
  <c r="T17" i="9" s="1"/>
  <c r="S23" i="9"/>
  <c r="T23" i="9" s="1"/>
  <c r="S15" i="9"/>
  <c r="T15" i="9" s="1"/>
  <c r="S29" i="9"/>
  <c r="T29" i="9" s="1"/>
  <c r="S14" i="9"/>
  <c r="T14" i="9" s="1"/>
  <c r="S28" i="9"/>
  <c r="T28" i="9" s="1"/>
  <c r="S16" i="9"/>
  <c r="T16" i="9" s="1"/>
  <c r="S21" i="9"/>
  <c r="T21" i="9" s="1"/>
  <c r="S20" i="9"/>
  <c r="T20" i="9" s="1"/>
  <c r="S25" i="9"/>
  <c r="T25" i="9" s="1"/>
  <c r="N7" i="3" l="1"/>
  <c r="R3" i="3" s="1"/>
  <c r="R36" i="3" l="1"/>
  <c r="R7" i="5" l="1"/>
  <c r="R30" i="5"/>
  <c r="R29" i="5"/>
  <c r="R26" i="5"/>
  <c r="R25" i="5"/>
  <c r="R24" i="5"/>
  <c r="R23" i="5"/>
  <c r="R22" i="5"/>
  <c r="R21" i="5"/>
  <c r="R20" i="5"/>
  <c r="R19" i="5"/>
  <c r="R18" i="5"/>
  <c r="R17" i="5"/>
  <c r="R15" i="5"/>
  <c r="R14" i="5"/>
  <c r="R13" i="5"/>
  <c r="R12" i="5"/>
  <c r="R11" i="5"/>
  <c r="R8" i="5"/>
  <c r="N30" i="8"/>
  <c r="O30" i="8" s="1"/>
  <c r="N29" i="8"/>
  <c r="O29" i="8" s="1"/>
  <c r="N26" i="8"/>
  <c r="O26" i="8" s="1"/>
  <c r="N25" i="8"/>
  <c r="O25" i="8" s="1"/>
  <c r="N24" i="8"/>
  <c r="O24" i="8" s="1"/>
  <c r="N23" i="8"/>
  <c r="O23" i="8" s="1"/>
  <c r="N22" i="8"/>
  <c r="O22" i="8" s="1"/>
  <c r="N21" i="8"/>
  <c r="O21" i="8" s="1"/>
  <c r="N20" i="8"/>
  <c r="O20" i="8" s="1"/>
  <c r="N19" i="8"/>
  <c r="O19" i="8" s="1"/>
  <c r="N18" i="8"/>
  <c r="O18" i="8" s="1"/>
  <c r="N17" i="8"/>
  <c r="O17" i="8" s="1"/>
  <c r="N15" i="8"/>
  <c r="O15" i="8" s="1"/>
  <c r="N14" i="8"/>
  <c r="O14" i="8" s="1"/>
  <c r="N13" i="8"/>
  <c r="O13" i="8" s="1"/>
  <c r="N12" i="8"/>
  <c r="O12" i="8" s="1"/>
  <c r="N11" i="8"/>
  <c r="O11" i="8" s="1"/>
  <c r="N8" i="8"/>
  <c r="O8" i="8" s="1"/>
  <c r="N7" i="8"/>
  <c r="Q5" i="8" s="1"/>
  <c r="N30" i="5"/>
  <c r="O30" i="5" s="1"/>
  <c r="N29" i="5"/>
  <c r="O29" i="5" s="1"/>
  <c r="N26" i="5"/>
  <c r="O26" i="5" s="1"/>
  <c r="N25" i="5"/>
  <c r="O25" i="5" s="1"/>
  <c r="N24" i="5"/>
  <c r="O24" i="5" s="1"/>
  <c r="N23" i="5"/>
  <c r="O23" i="5" s="1"/>
  <c r="N22" i="5"/>
  <c r="O22" i="5" s="1"/>
  <c r="N21" i="5"/>
  <c r="O21" i="5" s="1"/>
  <c r="N20" i="5"/>
  <c r="O20" i="5" s="1"/>
  <c r="N19" i="5"/>
  <c r="O19" i="5" s="1"/>
  <c r="N18" i="5"/>
  <c r="O18" i="5" s="1"/>
  <c r="N17" i="5"/>
  <c r="O17" i="5" s="1"/>
  <c r="N15" i="5"/>
  <c r="O15" i="5" s="1"/>
  <c r="N14" i="5"/>
  <c r="O14" i="5" s="1"/>
  <c r="N13" i="5"/>
  <c r="O13" i="5" s="1"/>
  <c r="N12" i="5"/>
  <c r="O12" i="5" s="1"/>
  <c r="N11" i="5"/>
  <c r="O11" i="5" s="1"/>
  <c r="N8" i="5"/>
  <c r="O8" i="5" s="1"/>
  <c r="N7" i="5"/>
  <c r="O7" i="5" s="1"/>
  <c r="O30" i="4"/>
  <c r="O29" i="4"/>
  <c r="O31" i="4" s="1"/>
  <c r="O26" i="4"/>
  <c r="O25" i="4"/>
  <c r="O24" i="4"/>
  <c r="O23" i="4"/>
  <c r="O22" i="4"/>
  <c r="O21" i="4"/>
  <c r="O20" i="4"/>
  <c r="O19" i="4"/>
  <c r="O18" i="4"/>
  <c r="O17" i="4"/>
  <c r="O15" i="4"/>
  <c r="O14" i="4"/>
  <c r="O13" i="4"/>
  <c r="O12" i="4"/>
  <c r="O11" i="4"/>
  <c r="O8" i="4"/>
  <c r="O7" i="4"/>
  <c r="O9" i="4" l="1"/>
  <c r="O31" i="8"/>
  <c r="O7" i="8"/>
  <c r="O9" i="8" s="1"/>
  <c r="O27" i="4"/>
  <c r="O36" i="4" s="1"/>
  <c r="P36" i="9" s="1"/>
  <c r="O9" i="5"/>
  <c r="B8" i="7" s="1"/>
  <c r="Q5" i="5"/>
  <c r="O31" i="5"/>
  <c r="B20" i="7" s="1"/>
  <c r="O27" i="8"/>
  <c r="O27" i="5"/>
  <c r="O30" i="3"/>
  <c r="O29" i="3"/>
  <c r="O26" i="3"/>
  <c r="O25" i="3"/>
  <c r="O24" i="3"/>
  <c r="O23" i="3"/>
  <c r="O22" i="3"/>
  <c r="O21" i="3"/>
  <c r="O20" i="3"/>
  <c r="O19" i="3"/>
  <c r="O18" i="3"/>
  <c r="O17" i="3"/>
  <c r="O15" i="3"/>
  <c r="O14" i="3"/>
  <c r="O13" i="3"/>
  <c r="O12" i="3"/>
  <c r="O11" i="3"/>
  <c r="O8" i="3"/>
  <c r="O36" i="8" l="1"/>
  <c r="P36" i="8" s="1"/>
  <c r="O31" i="3"/>
  <c r="B20" i="1" s="1"/>
  <c r="O36" i="5"/>
  <c r="P36" i="5" s="1"/>
  <c r="B11" i="7"/>
  <c r="B21" i="7" s="1"/>
  <c r="O27" i="3"/>
  <c r="B11" i="1" l="1"/>
  <c r="P27" i="9"/>
  <c r="Q27" i="9" s="1"/>
  <c r="O7" i="3"/>
  <c r="O9" i="3" s="1"/>
  <c r="O36" i="3" l="1"/>
  <c r="B8" i="1"/>
  <c r="B21" i="1" s="1"/>
  <c r="P36" i="3" l="1"/>
  <c r="R37" i="3"/>
  <c r="S7" i="3" l="1"/>
  <c r="T7" i="3" s="1"/>
  <c r="S11" i="3"/>
  <c r="T11" i="3" s="1"/>
  <c r="S15" i="3"/>
  <c r="T15" i="3" s="1"/>
  <c r="S19" i="3"/>
  <c r="T19" i="3" s="1"/>
  <c r="S23" i="3"/>
  <c r="T23" i="3" s="1"/>
  <c r="S27" i="3"/>
  <c r="T27" i="3" s="1"/>
  <c r="S8" i="3"/>
  <c r="T8" i="3" s="1"/>
  <c r="S12" i="3"/>
  <c r="T12" i="3" s="1"/>
  <c r="S16" i="3"/>
  <c r="T16" i="3" s="1"/>
  <c r="S20" i="3"/>
  <c r="T20" i="3" s="1"/>
  <c r="S24" i="3"/>
  <c r="T24" i="3" s="1"/>
  <c r="S28" i="3"/>
  <c r="T28" i="3" s="1"/>
  <c r="S9" i="3"/>
  <c r="T9" i="3" s="1"/>
  <c r="S13" i="3"/>
  <c r="T13" i="3" s="1"/>
  <c r="S17" i="3"/>
  <c r="T17" i="3" s="1"/>
  <c r="S21" i="3"/>
  <c r="T21" i="3" s="1"/>
  <c r="S25" i="3"/>
  <c r="T25" i="3" s="1"/>
  <c r="S29" i="3"/>
  <c r="T29" i="3" s="1"/>
  <c r="S10" i="3"/>
  <c r="T10" i="3" s="1"/>
  <c r="S14" i="3"/>
  <c r="T14" i="3" s="1"/>
  <c r="S18" i="3"/>
  <c r="T18" i="3" s="1"/>
  <c r="S22" i="3"/>
  <c r="T22" i="3" s="1"/>
  <c r="S26" i="3"/>
  <c r="T26" i="3" s="1"/>
  <c r="S6" i="3"/>
  <c r="T6" i="3" s="1"/>
</calcChain>
</file>

<file path=xl/sharedStrings.xml><?xml version="1.0" encoding="utf-8"?>
<sst xmlns="http://schemas.openxmlformats.org/spreadsheetml/2006/main" count="1530" uniqueCount="217">
  <si>
    <t xml:space="preserve"> 02 PAVIMENTAÇÃO:</t>
  </si>
  <si>
    <t>01 MOVIMENTO DE TERRA:</t>
  </si>
  <si>
    <t>LOTE 1</t>
  </si>
  <si>
    <t>ITEM ESPECIFICAÇÃO DO OBJETO</t>
  </si>
  <si>
    <t xml:space="preserve"> VALOR R$ </t>
  </si>
  <si>
    <t>20.13.05</t>
  </si>
  <si>
    <t>20.20.01</t>
  </si>
  <si>
    <t>20.20.02</t>
  </si>
  <si>
    <t>Referência</t>
  </si>
  <si>
    <t>ANEXO IV - PROPOSTA COMERCIAL</t>
  </si>
  <si>
    <t>VALOR TOTAL DO LOTE</t>
  </si>
  <si>
    <t xml:space="preserve">(Nome e assinatura do representante legal da licitante) </t>
  </si>
  <si>
    <t xml:space="preserve">_________________________________________________ </t>
  </si>
  <si>
    <t>Validade da Proposta: 60 dias</t>
  </si>
  <si>
    <t xml:space="preserve"> A empresa DURO NA QUEDA CONSTRUÇÕES LTDA, estabelecida na Estrada São João S/N, Zona Rural CXPST 34, Bairro São João, Município de São Sebastião da Bela Vista - MG, CEP - 37567-000, inscrita no CNPJ/MF sob o nº 26.614.327/0001-47, propõe fornecer ao Município de Pouso Alegre MG, em estrito cumprimento ao quanto previsto no edital da licitação em epígrafe, os itens relacionados na planilha de orçamento disponibilizada juntamente ao edital, ao qual o licitante deverá preencher e entregar juntamente a esta proposta:</t>
  </si>
  <si>
    <r>
      <rPr>
        <b/>
        <sz val="11"/>
        <color theme="1"/>
        <rFont val="Calibri"/>
        <family val="2"/>
        <scheme val="minor"/>
      </rPr>
      <t xml:space="preserve">1.1 – Escavação mecânica de valas: </t>
    </r>
    <r>
      <rPr>
        <sz val="11"/>
        <color theme="1"/>
        <rFont val="Calibri"/>
        <family val="2"/>
        <scheme val="minor"/>
      </rPr>
      <t xml:space="preserve">
Poderá ocorrer necessidade de substituição de camada de suporte deteriorada e profunda, através de uso de equipamento retroescavadeira até ponto determinado pela fiscalização, sendo que o material será removido para área de bota-fora. </t>
    </r>
  </si>
  <si>
    <r>
      <rPr>
        <b/>
        <sz val="11"/>
        <color theme="1"/>
        <rFont val="Calibri"/>
        <family val="2"/>
        <scheme val="minor"/>
      </rPr>
      <t xml:space="preserve">1.2 – Substituição de solo mole: </t>
    </r>
    <r>
      <rPr>
        <sz val="11"/>
        <color theme="1"/>
        <rFont val="Calibri"/>
        <family val="2"/>
        <scheme val="minor"/>
      </rPr>
      <t xml:space="preserve">
Camadas de suporte identificadas com o problema serão removidas conforme citadas anteriormente e receberão material de granulometria (tipo rachão) apropriada para fundações das camadas do pavimento ou isoladamente.</t>
    </r>
  </si>
  <si>
    <r>
      <rPr>
        <b/>
        <sz val="11"/>
        <color theme="1"/>
        <rFont val="Calibri"/>
        <family val="2"/>
        <scheme val="minor"/>
      </rPr>
      <t xml:space="preserve">2.1 – Demolição de pavimento: </t>
    </r>
    <r>
      <rPr>
        <sz val="11"/>
        <color theme="1"/>
        <rFont val="Calibri"/>
        <family val="2"/>
        <scheme val="minor"/>
      </rPr>
      <t xml:space="preserve">
A parcela do pavimento comprometido e identificado pela fiscalização, será demolida e substituída com requadramento através do uso de equipamento mecânico tipo martelete pneumático ou também manualmente, a fim de definir e preparar caixa para aplicação do remendo asfáltico. Em casos previamente identificados e para preservação do pavimento em bom estado, poderá haver necessidade de corte do pavimento com uso de equipamento tipo serra circular apropriada para o serviço.</t>
    </r>
  </si>
  <si>
    <r>
      <rPr>
        <b/>
        <sz val="11"/>
        <color theme="1"/>
        <rFont val="Calibri"/>
        <family val="2"/>
        <scheme val="minor"/>
      </rPr>
      <t xml:space="preserve">2.2 – Carga e transporte: </t>
    </r>
    <r>
      <rPr>
        <sz val="11"/>
        <color theme="1"/>
        <rFont val="Calibri"/>
        <family val="2"/>
        <scheme val="minor"/>
      </rPr>
      <t xml:space="preserve">
Todos os materiais provenientes dos trabalhos de demolição do pavimento para preparo do pavimento deverão sofrer carga mecânica e transportada para área de bota-fora, onde sofrerá descarga e espalhamento. O transporte em segurança destes materiais deverá atender as normas pertinentes do código de posturas do Município. </t>
    </r>
  </si>
  <si>
    <r>
      <rPr>
        <b/>
        <sz val="11"/>
        <color theme="1"/>
        <rFont val="Calibri"/>
        <family val="2"/>
        <scheme val="minor"/>
      </rPr>
      <t>2.3 – Fresagem:</t>
    </r>
    <r>
      <rPr>
        <sz val="11"/>
        <color theme="1"/>
        <rFont val="Calibri"/>
        <family val="2"/>
        <scheme val="minor"/>
      </rPr>
      <t xml:space="preserve">
Pavimentos com boa qualidade de suporte e capa asfáltica irregular sofrerão trabalhos de fresagem com equipamento apropriado e descarga sobre caminhão acompanhando esteira. A fiscalização definirá a seu critério prévio a espessura da fresagem, podendo esta variar até 10 cm (dez centímetros). Todo o material proveniente deste trabalho será transportado para fora da via com estocagem em local definido pela fiscalização. </t>
    </r>
  </si>
  <si>
    <r>
      <rPr>
        <b/>
        <sz val="11"/>
        <color theme="1"/>
        <rFont val="Calibri"/>
        <family val="2"/>
        <scheme val="minor"/>
      </rPr>
      <t xml:space="preserve">2.4 – Reciclagem e subleito: </t>
    </r>
    <r>
      <rPr>
        <sz val="11"/>
        <color theme="1"/>
        <rFont val="Calibri"/>
        <family val="2"/>
        <scheme val="minor"/>
      </rPr>
      <t xml:space="preserve">
Vias a serem recuperadas cuja capa asfáltica está amplamente danificada, receberão reciclagem da base existente com aproximadamente 20 cm (vinte centímetros) de espessura e com incorporação de agregado tipo brita graduada e acréscimo de cimento de 3% a 5%, devidamente homogeneizado e compactado. Caso a base ofereça condições melhores de aproveitamento, receberá trabalhos de regularização e compactação condizentes com o trato do subleito para conformação final do pavimento. Operação destinada a conformar o leito, transversal e longitudinal, compreende cortes ou aterros de no máximo 15 cm (quinze centímetros) de espessura, e compactado. </t>
    </r>
  </si>
  <si>
    <r>
      <rPr>
        <b/>
        <sz val="11"/>
        <color theme="1"/>
        <rFont val="Calibri"/>
        <family val="2"/>
        <scheme val="minor"/>
      </rPr>
      <t>2.5 – Sub-base e base de solo estabilizada granulometricamente:</t>
    </r>
    <r>
      <rPr>
        <sz val="11"/>
        <color theme="1"/>
        <rFont val="Calibri"/>
        <family val="2"/>
        <scheme val="minor"/>
      </rPr>
      <t xml:space="preserve">
A sub-base, quando necessária e previamente aprovada pela fiscalização, será executada com grita graduada com espessura compactada de 15 cm (quinze centímetros) a 20 cm (vinte centímetros) e a base será executada com o mesmo material na espessura, adensada de 15 cm (quinze centímetros), e atenderá ao disposto nas especificações de serviços DNER-ES-P 10.71. O material a ser empregado na sub-base e base deverá possuir índice de suporte Califórnia (ISC) de no mínimo 60% (Sessenta por cento) e expansão de no Maximo 0,5% (meio por cento) determinado pela energia do método DNER-ME-48-64 (Proctor intermediário). </t>
    </r>
  </si>
  <si>
    <r>
      <rPr>
        <b/>
        <sz val="11"/>
        <color theme="1"/>
        <rFont val="Calibri"/>
        <family val="2"/>
        <scheme val="minor"/>
      </rPr>
      <t xml:space="preserve">2.6 – Imprimação: </t>
    </r>
    <r>
      <rPr>
        <sz val="11"/>
        <color theme="1"/>
        <rFont val="Calibri"/>
        <family val="2"/>
        <scheme val="minor"/>
      </rPr>
      <t xml:space="preserve">
Execução de imprimação com material betuminoso, incluindo fornecimento e transporte do material betuminoso (CM-30) dentro do canteiro de obras. A distribuição do ligante será feita por carros equipados com bomba reguladora de pressão e sistema completo de aquecimento, que permitam a aplicação do material betuminoso em quantidade uniforme.</t>
    </r>
  </si>
  <si>
    <r>
      <rPr>
        <b/>
        <sz val="11"/>
        <color theme="1"/>
        <rFont val="Calibri"/>
        <family val="2"/>
        <scheme val="minor"/>
      </rPr>
      <t xml:space="preserve"> 2.7 – Pintura de ligação: </t>
    </r>
    <r>
      <rPr>
        <sz val="11"/>
        <color theme="1"/>
        <rFont val="Calibri"/>
        <family val="2"/>
        <scheme val="minor"/>
      </rPr>
      <t xml:space="preserve">
Execução de pintura de ligação com material betuminoso, incluindo fornecimento e transporte do material betuminoso dentro do canteiro de obras. A pintura de ligação consiste na aplicação de uma camada de material betuminoso (RR-2C) sobre a superfície de regularização, antes da execução de um revestimento betuminoso, objetivando promover a aderência entre este revestimento e a camada subjacente. A distribuição do ligante será feita por carros equipados com bomba reguladora de pressão e sistema completo de aquecimento, que permitam a aplicação do material betuminoso em quantidade uniforme. </t>
    </r>
  </si>
  <si>
    <r>
      <rPr>
        <b/>
        <sz val="11"/>
        <color theme="1"/>
        <rFont val="Calibri"/>
        <family val="2"/>
        <scheme val="minor"/>
      </rPr>
      <t xml:space="preserve">2.8 – Execução de Concreto Betuminoso (CBUQ) : </t>
    </r>
    <r>
      <rPr>
        <sz val="11"/>
        <color theme="1"/>
        <rFont val="Calibri"/>
        <family val="2"/>
        <scheme val="minor"/>
      </rPr>
      <t xml:space="preserve">
Execução de concreto betuminoso usinado a quente (CBUQ) com material betuminoso, incluindo fornecimento dos agregados e transporte do material betuminoso dentro do canteiro de obras, exclusive transporte até os locais a serem aplicados. Este revestimento será aplicado sobre o pavimento devidamente pintado com material betuminoso. A distribuição do Concreto Asfáltico será feita por máquinas acabadoras. Após a distribuição do concreto asfáltico terá inicio a rolagem. Como norma geral, a temperatura de rolagem é a mais elevada que a mistura asfáltica possa suportar, temperatura essa fixada, experimentalmente, para cada caso. Serão empregados rolos de pneus de pressão variável, iniciando-se a rolagem, com baixa pressão, a qual será aumentada à medida que a mistura for sendo compactada, e, conseqüentemente, suportar pressões mais elevadas. A compressão será iniciada pelos bordos, longitudinalmente continuando em direção ao eixo da pista. Nas curvas, de acordo com a superelevação, a compressão começará sempre do ponto mais baixo para o mais alto. Cada passada do rolo será recoberta, na seguinte, de, pelo menos, a metade da largura rolada. Em qualquer caso, a operação de rolagem perdurará até o momento em que seja atingida a compressão especificada. Durante a rolagem não serão permitidas mudanças de direção e inversões bruscas de marcha, nem estacionamento do equipamento sobre o revestimento recém-rolado. As rodas do rolo metálico serão umedecidas adequadamente, de modo a evitar a aderência da mistura e as rodas do rolo pneumático serão, no inicio da rolagem, ser levemente untadas com óleo queimado, com a mesma finalidade. A espessura final da camada de rolamento compactada será estabelecida pela fiscalização podendo variar em função da espessura da fresagem e outros locais recuperados. O transporte do material betuminoso será feito através de caminhões tipo basculante com caçambas metálicas robustas, limpas e o material será protegido por lonas adequadas ao seu condicionamento e conservação.</t>
    </r>
  </si>
  <si>
    <r>
      <rPr>
        <b/>
        <sz val="11"/>
        <color theme="1"/>
        <rFont val="Calibri"/>
        <family val="2"/>
        <scheme val="minor"/>
      </rPr>
      <t xml:space="preserve">3.1 – Concreto betuminoso usinado a quente: </t>
    </r>
    <r>
      <rPr>
        <sz val="11"/>
        <color theme="1"/>
        <rFont val="Calibri"/>
        <family val="2"/>
        <scheme val="minor"/>
      </rPr>
      <t xml:space="preserve">
Os serviços de tapa-buracos compreendem o preparo de superfície através do requadramento e definição das áreas com cortes, seja manual ou mecanicamente conforme especificados anteriormente, seguidos de limpeza e remoção de materiais soltos com perfeita varrição manual ou mecânica. As áreas deverão estar secas e receber a seguir pintura de ligação 36 com material betuminoso diluído (RR-2C) aplicado com “caneta” ou barra espargidora, em camada uniforme e o posterior lançamento de volume de massa asfáltica (CBUQ) seguida de espalhamento manual ou mecânico, conforme volume aplicado, compactado com rolo liso ou placa vibratória. As condições técnicas destes trabalhos e os cuidados com as especificações técnicas da massa seguem os mesmos critérios já especificados anteriormente, tanto para aplicação quanto para transporte. </t>
    </r>
  </si>
  <si>
    <t>03 TAPA-BURACO:</t>
  </si>
  <si>
    <t xml:space="preserve">Pouso Alegre MG 11 de Setembro de 2017 </t>
  </si>
  <si>
    <t>Cargo: Presidente</t>
  </si>
  <si>
    <t>RG nº 33.632.117 - x</t>
  </si>
  <si>
    <t>PREFEITURA MUNICIPAL DE POUSO ALEGRE
PLANILHA DE ORÇAMENTO
SERVIÇOS DE RECOMPOSIÇÃO E MANUTENÇÃO ASFÁLTICA DE VIAS URBANAS
LOCAL DIVERSOS LOCAIS DO MUNICIPIO</t>
  </si>
  <si>
    <t>PROCESSO</t>
  </si>
  <si>
    <t>ITEM</t>
  </si>
  <si>
    <t>DESCRIMINAÇÃO</t>
  </si>
  <si>
    <t>QTDE</t>
  </si>
  <si>
    <t>UND</t>
  </si>
  <si>
    <t>MOVIMENTO DE TERRA</t>
  </si>
  <si>
    <t xml:space="preserve">1.1 </t>
  </si>
  <si>
    <t>Escavação mecanica de valas com retroescavadeira profunidade até 1,50m</t>
  </si>
  <si>
    <t>M3</t>
  </si>
  <si>
    <t>1.2</t>
  </si>
  <si>
    <t>Substituição de solo mole por material granular (incl. fornecimento e lançamento de rachão)</t>
  </si>
  <si>
    <t>Sub total</t>
  </si>
  <si>
    <t>PAVIMENTAÇÃO</t>
  </si>
  <si>
    <t>02.11.07</t>
  </si>
  <si>
    <t>SUDECAP</t>
  </si>
  <si>
    <t>2.1</t>
  </si>
  <si>
    <t xml:space="preserve"> Demolição de pavimentação asfaltica com equipamento pneumático exclusive transporte </t>
  </si>
  <si>
    <t>M2</t>
  </si>
  <si>
    <t>SINAP</t>
  </si>
  <si>
    <t>2.2</t>
  </si>
  <si>
    <t>Demolição manual de pavimentação asfaltica exclusive transporte</t>
  </si>
  <si>
    <t>2.2.1</t>
  </si>
  <si>
    <t>Carga e descarga de material proveniente de demolição e fresagem</t>
  </si>
  <si>
    <t>2.2.2</t>
  </si>
  <si>
    <t>Transporte comercial caminhão basculante 6m3</t>
  </si>
  <si>
    <t>M3 x km</t>
  </si>
  <si>
    <t>02.12.01</t>
  </si>
  <si>
    <t>2.3</t>
  </si>
  <si>
    <t>Corte mecanico com serra circular em concreto/asfalto</t>
  </si>
  <si>
    <t>m</t>
  </si>
  <si>
    <t>2.4</t>
  </si>
  <si>
    <t xml:space="preserve"> Fresagem descontinua de pavimento asfaltica</t>
  </si>
  <si>
    <t>2.4.1</t>
  </si>
  <si>
    <t>Espessura &lt;= 5cm</t>
  </si>
  <si>
    <t>m2</t>
  </si>
  <si>
    <t>2.4.2</t>
  </si>
  <si>
    <t>Espessura &gt; 5cm &lt; 10cm</t>
  </si>
  <si>
    <t>SICRO-MG</t>
  </si>
  <si>
    <t>2.5</t>
  </si>
  <si>
    <t>Reciclagem com incorporação do revestimento asfaltica a base com adição de brita e cimento</t>
  </si>
  <si>
    <t>m3</t>
  </si>
  <si>
    <t>2.6</t>
  </si>
  <si>
    <t xml:space="preserve">Regularização e compactação de subleito </t>
  </si>
  <si>
    <t xml:space="preserve">Execução de sub-base / base de brita graduada com proctor intermediário, incluindo fornecimento </t>
  </si>
  <si>
    <t>2.7.1</t>
  </si>
  <si>
    <t xml:space="preserve"> Transporte comercial caminhão basculante 10m3 (material granular sub-base e base) </t>
  </si>
  <si>
    <t>2.8</t>
  </si>
  <si>
    <t xml:space="preserve"> Imprimação com material betuminoso (CM-30)</t>
  </si>
  <si>
    <t>2.9</t>
  </si>
  <si>
    <t>Pintura de ligação com emulsão RR-2C</t>
  </si>
  <si>
    <t>2.10</t>
  </si>
  <si>
    <t>Concreto betuminoso usinado a quente, faixa C (Usinagem e aplicação) CAP 50/70, incluindo fornecimento de todos os materias, equipamentos, e serviços de aplicação, exceto transporte do CBUQ até locais de aplicação</t>
  </si>
  <si>
    <t>ton</t>
  </si>
  <si>
    <t>2.20.1</t>
  </si>
  <si>
    <t>Transporte comercial camihão basculante 6m3 (CBUQ até local da obra)</t>
  </si>
  <si>
    <t>ton x km</t>
  </si>
  <si>
    <t>TAPA-BURACOS</t>
  </si>
  <si>
    <t>3.1</t>
  </si>
  <si>
    <t xml:space="preserve">Execução de tapa-buraco com CBUQ, CAP 50/70, incluindo usinagem e aplicação, fornecimento de todos os materiais, pintura de ligação e limpeza da superficie e aplicação de CBUQ </t>
  </si>
  <si>
    <t>Ton</t>
  </si>
  <si>
    <t>3.1.1</t>
  </si>
  <si>
    <t xml:space="preserve">Transporte comercial camihão basculante 6m3 (CBUQ até local da obra) </t>
  </si>
  <si>
    <t>Tonx Km</t>
  </si>
  <si>
    <t>Total Geral</t>
  </si>
  <si>
    <t>Observações</t>
  </si>
  <si>
    <t>Preços unitários com base nas tabelas SINAP (não desonerados) junho/2017 SUDECAP (onerado) março/2017 e SICRO-MG janeiro 2017</t>
  </si>
  <si>
    <t>P UNIT. C/BDI
 R$</t>
  </si>
  <si>
    <t>P UNIT   R$</t>
  </si>
  <si>
    <t>TOTAL
R$</t>
  </si>
  <si>
    <t>P UNIT. C/BDI
R$</t>
  </si>
  <si>
    <t>P UNIT
R$</t>
  </si>
  <si>
    <t>N°</t>
  </si>
  <si>
    <t>L</t>
  </si>
  <si>
    <t>C</t>
  </si>
  <si>
    <t>M²</t>
  </si>
  <si>
    <t>ÁREA TOTAL</t>
  </si>
  <si>
    <t>BAIRRO</t>
  </si>
  <si>
    <t>LOCAL</t>
  </si>
  <si>
    <t>FRESAGEM</t>
  </si>
  <si>
    <t>APLICAÇÃO DE RR</t>
  </si>
  <si>
    <t>DURO NA QUEDA CONSTRUÇÕES LTDA  - PREFEITURA MUNICIPAL DE POUSO ALEGRE
MEMÓRIA DE CALCULO
SERVIÇOS DE RECOMPOSIÇÃO E MANUTENÇÃO ASFÁLTICA DE VIAS URBANAS</t>
  </si>
  <si>
    <t>APLICAÇÃO DE MASSA</t>
  </si>
  <si>
    <t>TRASPORTE MASSA</t>
  </si>
  <si>
    <t>T</t>
  </si>
  <si>
    <t>KM/T</t>
  </si>
  <si>
    <t>TON</t>
  </si>
  <si>
    <t>TRANSPORTE MASSA</t>
  </si>
  <si>
    <t>VIAGEM MAT. FRESA</t>
  </si>
  <si>
    <t>V/M³</t>
  </si>
  <si>
    <t>M³/KM</t>
  </si>
  <si>
    <t>TRANSPORTE DE M.FRESA</t>
  </si>
  <si>
    <t>Área</t>
  </si>
  <si>
    <t>DESCRIÇÃO</t>
  </si>
  <si>
    <t>M. CÁLCULO</t>
  </si>
  <si>
    <t>QUANT</t>
  </si>
  <si>
    <t>UNDADE</t>
  </si>
  <si>
    <t>QUANTIDADE</t>
  </si>
  <si>
    <t>TOTAL</t>
  </si>
  <si>
    <t>= (18,56)</t>
  </si>
  <si>
    <t>=20,94+21,28+21,72+20,35+20,3+22,54+23,26</t>
  </si>
  <si>
    <t>=0</t>
  </si>
  <si>
    <t>Jadim Altaville</t>
  </si>
  <si>
    <t>= (21,45)</t>
  </si>
  <si>
    <t>= (20,32)</t>
  </si>
  <si>
    <t>= (14,8)</t>
  </si>
  <si>
    <t>TOTAIS TAPA BURACO</t>
  </si>
  <si>
    <t>TRANSPORTE DE MASSA</t>
  </si>
  <si>
    <t>=(198 X 7,2 + 38 x 3,6)</t>
  </si>
  <si>
    <t>Av. Maria de Paiva Garcia</t>
  </si>
  <si>
    <t>=(250 X 7,1)</t>
  </si>
  <si>
    <t>=21,83+20,99+21,96+24,7+21,49+20,4+22,61</t>
  </si>
  <si>
    <t>(Nova) M. Tereza do Nascimento</t>
  </si>
  <si>
    <t>(Antiga) Antiga Rua Dez</t>
  </si>
  <si>
    <t>=22,91+22,06+22,09+23,55+21,88+22,15+25,74+23,14</t>
  </si>
  <si>
    <t>Av. Marechal Castelo Branco</t>
  </si>
  <si>
    <t>EXECUÇÃO DE FRESAGEM E RECAPEAMENTO NA AV. MARECHAL CASTELO BRANCO</t>
  </si>
  <si>
    <t>=108 x 11,3 + 240 x 5</t>
  </si>
  <si>
    <t>= (21,6)</t>
  </si>
  <si>
    <t>=23,86+23,85+24,95+21,70+22,8+20,89</t>
  </si>
  <si>
    <t>=182 X 8,3 + 235 X 7,15</t>
  </si>
  <si>
    <t>=24,57+22,90+22,10+21,23+22,63</t>
  </si>
  <si>
    <t>= 0</t>
  </si>
  <si>
    <t>=208 X 7,7</t>
  </si>
  <si>
    <t>TOTAIS RECAPEAMENTO</t>
  </si>
  <si>
    <t>EXECUÇÃO DE FRESAGEM E RECAPEAMENTO NA POUSADA DOS CAMPOS</t>
  </si>
  <si>
    <t>Rua Francisco Argone</t>
  </si>
  <si>
    <t>Arvore Grande</t>
  </si>
  <si>
    <t>=193 X 7,7 + 235 X 7,15</t>
  </si>
  <si>
    <t>EXECUÇÃO DE FRESAGEM E RECAPEAMENTO NA R. RAUL COBRA SOBRINHO</t>
  </si>
  <si>
    <t>Prç. Marechal Martins Perreira</t>
  </si>
  <si>
    <t>Rua Augustinho Andrey</t>
  </si>
  <si>
    <t>Santa Filimena</t>
  </si>
  <si>
    <t>Santa Filomena</t>
  </si>
  <si>
    <t>= (23,30)</t>
  </si>
  <si>
    <t>=(0)</t>
  </si>
  <si>
    <t>=24,6+21,31+21,56+21,48+20,63+20,90+21,31+12,74+22,97+20,86+21,72+  20,36+20,96+21,16</t>
  </si>
  <si>
    <t>EXECUÇÃO DE FRESAGEM E RECAPEAMENTO NA RUA EXPEDITO SILVA MALÉ</t>
  </si>
  <si>
    <t>=213*7,7+170*3,15</t>
  </si>
  <si>
    <t>=218*8</t>
  </si>
  <si>
    <t>=21,38+23,44+21,31+14,32+21,63+21,78+19,14</t>
  </si>
  <si>
    <t>EXECUÇÃO DE FRESAGEM E RECAPEAMENTO NA RUA MARIA PÉRES RESENDE</t>
  </si>
  <si>
    <t>=23+21,66+23,67+22,74+23,22+23,06+21,28+24,77+23,3+22,09+15,12 +21,13+21,37+21,02</t>
  </si>
  <si>
    <t>= (23,42)</t>
  </si>
  <si>
    <t>EXECUÇÃO DE FRESAGEM E RECAPEAMENTO NA RUA ANÁLIA SALLES DE OLIVEIRA</t>
  </si>
  <si>
    <t>=185*7,5+197*7,5</t>
  </si>
  <si>
    <t>Antonio Lemes da Silva</t>
  </si>
  <si>
    <t>Fatima</t>
  </si>
  <si>
    <t>=26,73+21,52+20+21,38+20,7+22,4</t>
  </si>
  <si>
    <t>=250*6,2</t>
  </si>
  <si>
    <t>=(26,94+22,57+21,35+20,04+23,12+24,06+23,29)</t>
  </si>
  <si>
    <t>= (23,3)</t>
  </si>
  <si>
    <t>RUA ANTONIO SARKIS</t>
  </si>
  <si>
    <t>=23,5+27,61+22,06+20,62+22,46+22,47+21,82+21,89+26,31</t>
  </si>
  <si>
    <t>=167*7,7+185*6,5</t>
  </si>
  <si>
    <t>EXECUÇÃO DE FRESAGEM E RECAPEAMENTO NA RUA BENTO DÓRIA RAMOS</t>
  </si>
  <si>
    <t>=22,65+21,46+21,45+21,77+21,52+19,66+21,65+21,52+21,67+21,1+21,25 +21,8+17,94+20,77+20,06+10,66+13,13+22,26+21,28+20,64</t>
  </si>
  <si>
    <t>=</t>
  </si>
  <si>
    <t>MEMÓRIA DE CÁLCULO - TAPA BURACO</t>
  </si>
  <si>
    <t>CÓDIGO</t>
  </si>
  <si>
    <t>REFERÊNCIA</t>
  </si>
  <si>
    <t>1.1</t>
  </si>
  <si>
    <t>Planilha Orçamentária</t>
  </si>
  <si>
    <t>RODRIGO TEIXEIRA DE OLIVEIRA</t>
  </si>
  <si>
    <t xml:space="preserve">GERENTE DE INFRAESTRUTURA </t>
  </si>
  <si>
    <t>CREA 5062990258</t>
  </si>
  <si>
    <t>PREÇO UNIT   (R$)</t>
  </si>
  <si>
    <t>P UNIT. C/BDI 24,23%
 (R$)</t>
  </si>
  <si>
    <t>PREÇO TOTAL
(R$)</t>
  </si>
  <si>
    <t>PREÇO TOTAL
C/ BDI 24,23% (R$)</t>
  </si>
  <si>
    <t>EQUIPAMENTOS</t>
  </si>
  <si>
    <t>2.0</t>
  </si>
  <si>
    <t>1.0</t>
  </si>
  <si>
    <t>RETROESCAVADEIRA SOBRE RODAS COM CARREGADEIRA, TRAÇÃO 4X4, POTÊNCIA LÍQ. 88 HP, CAÇAMBA CARREG. CAP. MÍN. 1 M3, CAÇAMBA RETRO CAP. 0,26 M3, PESO OPERACIONAL MÍN. 6.674 KG, PROFUNDIDADE ESCAVAÇÃO MÁX. 4,37 M - CHP DIURNO. AF_06/2014</t>
  </si>
  <si>
    <t>CAMINHÃO BASCULANTE 10 M3, TRUCADO CABINE SIMPLES, PESO BRUTO TOTAL 23.000 KG, CARGA ÚTIL MÁXIMA 15.935 KG, DISTÂNCIA ENTRE EIXOS 4,80 M, POTÊNCIA 230 CV INCLUSIVE CAÇAMBA METÁLICA - CHP DIURNO. AF_06/2014</t>
  </si>
  <si>
    <t>CHP</t>
  </si>
  <si>
    <t>UNID.</t>
  </si>
  <si>
    <t>SERVIÇOS DE TAPA-BURACO</t>
  </si>
  <si>
    <t>EXECUÇÃO DE TAPA BURACO COM APLICAÇÃO DE CONCRETO ASFÁLTICO E PINTURA DE LIGAÇÃO. AF_12/2020</t>
  </si>
  <si>
    <t xml:space="preserve">TRANSPORTE COM CAMINHÃO BASCULANTE DE 10 M³, EM VIA URBANA PAVIMENTADA, DMT ATÉ 30 KM (UNIDADE: M3XKM). AF_07/2020 (CBUQ ATÉ LOCAL DA OBRA) </t>
  </si>
  <si>
    <t>M3XKM</t>
  </si>
  <si>
    <t>1.3</t>
  </si>
  <si>
    <t>CARGA, MANOBRA E DESCARGA DE SOLOS E MATERIAIS GRANULARES EM CAMINHÃO BASCULANTE 10 M³ - CARGA COM PÁ CARREGADEIRA (CAÇAMBA DE 1,7 A 2,8 M³/ 128 HP) E DESCARGA LIVRE (UNIDADE: M3). AF_07/2020</t>
  </si>
  <si>
    <t>OBRA: SERVIÇOS DE RECOMPOSIÇÃO E MANUTENÇÃO ASFÁLTICA DE VIAS URBANAS - TAPA BURACO 2023</t>
  </si>
  <si>
    <t>Data: 06/10/2022</t>
  </si>
  <si>
    <t>SINAPI AGO/22</t>
  </si>
  <si>
    <r>
      <t xml:space="preserve">Base de Preços: </t>
    </r>
    <r>
      <rPr>
        <b/>
        <sz val="14"/>
        <rFont val="Calibri"/>
        <family val="2"/>
        <scheme val="minor"/>
      </rPr>
      <t>SINAPI AGO/22</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</si>
</sst>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quot;R$&quot;* #,##0.00_-;\-&quot;R$&quot;* #,##0.00_-;_-&quot;R$&quot;* &quot;-&quot;??_-;_-@_-"/>
    <numFmt numFmtId="165" formatCode="General\ &quot;KM&quot;"/>
    <numFmt numFmtId="166" formatCode="General\ &quot;Viag&quot;"/>
  </numFmts>
  <fonts count="13"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20"/>
      <color theme="1"/>
      <name val="Calibri"/>
      <family val="2"/>
      <scheme val="minor"/>
    </font>
    <font>
      <sz val="11"/>
      <color theme="1"/>
      <name val="Calibri"/>
      <family val="2"/>
      <scheme val="minor"/>
    </font>
    <font>
      <b/>
      <sz val="24"/>
      <color theme="1"/>
      <name val="Calibri"/>
      <family val="2"/>
      <scheme val="minor"/>
    </font>
    <font>
      <b/>
      <sz val="12"/>
      <color theme="1"/>
      <name val="Calibri"/>
      <family val="2"/>
      <scheme val="minor"/>
    </font>
    <font>
      <sz val="10"/>
      <color theme="1"/>
      <name val="Calibri"/>
      <family val="2"/>
      <scheme val="minor"/>
    </font>
    <font>
      <b/>
      <sz val="11"/>
      <color rgb="FF0000FF"/>
      <name val="Calibri"/>
      <family val="2"/>
      <scheme val="minor"/>
    </font>
    <font>
      <sz val="10"/>
      <name val="Calibri"/>
      <family val="2"/>
      <scheme val="minor"/>
    </font>
    <font>
      <b/>
      <sz val="14"/>
      <name val="Calibri"/>
      <family val="2"/>
      <scheme val="minor"/>
    </font>
    <font>
      <sz val="1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59999389629810485"/>
        <bgColor indexed="64"/>
      </patternFill>
    </fill>
  </fills>
  <borders count="8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double">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double">
        <color auto="1"/>
      </right>
      <top style="double">
        <color auto="1"/>
      </top>
      <bottom style="hair">
        <color auto="1"/>
      </bottom>
      <diagonal/>
    </border>
    <border>
      <left style="double">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style="double">
        <color auto="1"/>
      </bottom>
      <diagonal/>
    </border>
    <border>
      <left style="thin">
        <color auto="1"/>
      </left>
      <right style="thin">
        <color auto="1"/>
      </right>
      <top style="hair">
        <color auto="1"/>
      </top>
      <bottom style="double">
        <color auto="1"/>
      </bottom>
      <diagonal/>
    </border>
    <border>
      <left style="thin">
        <color auto="1"/>
      </left>
      <right style="double">
        <color auto="1"/>
      </right>
      <top style="hair">
        <color auto="1"/>
      </top>
      <bottom style="double">
        <color auto="1"/>
      </bottom>
      <diagonal/>
    </border>
    <border>
      <left/>
      <right/>
      <top/>
      <bottom style="double">
        <color auto="1"/>
      </bottom>
      <diagonal/>
    </border>
    <border>
      <left style="double">
        <color auto="1"/>
      </left>
      <right style="thin">
        <color auto="1"/>
      </right>
      <top/>
      <bottom style="hair">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double">
        <color auto="1"/>
      </right>
      <top/>
      <bottom/>
      <diagonal/>
    </border>
    <border>
      <left/>
      <right style="double">
        <color auto="1"/>
      </right>
      <top/>
      <bottom style="double">
        <color auto="1"/>
      </bottom>
      <diagonal/>
    </border>
    <border>
      <left/>
      <right/>
      <top style="double">
        <color auto="1"/>
      </top>
      <bottom/>
      <diagonal/>
    </border>
    <border>
      <left style="double">
        <color auto="1"/>
      </left>
      <right/>
      <top/>
      <bottom/>
      <diagonal/>
    </border>
    <border>
      <left/>
      <right style="double">
        <color auto="1"/>
      </right>
      <top style="double">
        <color auto="1"/>
      </top>
      <bottom/>
      <diagonal/>
    </border>
    <border>
      <left style="double">
        <color auto="1"/>
      </left>
      <right/>
      <top style="double">
        <color auto="1"/>
      </top>
      <bottom/>
      <diagonal/>
    </border>
    <border>
      <left style="double">
        <color indexed="64"/>
      </left>
      <right style="thin">
        <color indexed="64"/>
      </right>
      <top style="hair">
        <color indexed="64"/>
      </top>
      <bottom/>
      <diagonal/>
    </border>
    <border>
      <left style="double">
        <color indexed="64"/>
      </left>
      <right style="thin">
        <color indexed="64"/>
      </right>
      <top/>
      <bottom/>
      <diagonal/>
    </border>
    <border>
      <left style="double">
        <color auto="1"/>
      </left>
      <right/>
      <top/>
      <bottom style="double">
        <color auto="1"/>
      </bottom>
      <diagonal/>
    </border>
    <border>
      <left style="thin">
        <color auto="1"/>
      </left>
      <right style="thin">
        <color auto="1"/>
      </right>
      <top style="hair">
        <color auto="1"/>
      </top>
      <bottom/>
      <diagonal/>
    </border>
    <border>
      <left style="thin">
        <color auto="1"/>
      </left>
      <right style="double">
        <color auto="1"/>
      </right>
      <top style="hair">
        <color auto="1"/>
      </top>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
      <left style="double">
        <color auto="1"/>
      </left>
      <right style="double">
        <color auto="1"/>
      </right>
      <top/>
      <bottom/>
      <diagonal/>
    </border>
    <border>
      <left style="thin">
        <color indexed="64"/>
      </left>
      <right/>
      <top style="hair">
        <color indexed="64"/>
      </top>
      <bottom style="hair">
        <color indexed="64"/>
      </bottom>
      <diagonal/>
    </border>
    <border>
      <left style="thin">
        <color auto="1"/>
      </left>
      <right/>
      <top style="hair">
        <color auto="1"/>
      </top>
      <bottom style="double">
        <color indexed="64"/>
      </bottom>
      <diagonal/>
    </border>
    <border>
      <left style="thin">
        <color indexed="64"/>
      </left>
      <right/>
      <top/>
      <bottom style="hair">
        <color indexed="64"/>
      </bottom>
      <diagonal/>
    </border>
    <border>
      <left/>
      <right style="thin">
        <color auto="1"/>
      </right>
      <top style="hair">
        <color auto="1"/>
      </top>
      <bottom style="double">
        <color auto="1"/>
      </bottom>
      <diagonal/>
    </border>
    <border>
      <left/>
      <right style="double">
        <color auto="1"/>
      </right>
      <top/>
      <bottom style="hair">
        <color indexed="64"/>
      </bottom>
      <diagonal/>
    </border>
    <border>
      <left/>
      <right style="thin">
        <color auto="1"/>
      </right>
      <top style="hair">
        <color auto="1"/>
      </top>
      <bottom style="hair">
        <color auto="1"/>
      </bottom>
      <diagonal/>
    </border>
    <border>
      <left style="thin">
        <color auto="1"/>
      </left>
      <right/>
      <top style="hair">
        <color auto="1"/>
      </top>
      <bottom/>
      <diagonal/>
    </border>
    <border>
      <left style="thin">
        <color auto="1"/>
      </left>
      <right/>
      <top style="double">
        <color auto="1"/>
      </top>
      <bottom style="hair">
        <color auto="1"/>
      </bottom>
      <diagonal/>
    </border>
    <border>
      <left style="thin">
        <color auto="1"/>
      </left>
      <right style="double">
        <color auto="1"/>
      </right>
      <top/>
      <bottom style="double">
        <color auto="1"/>
      </bottom>
      <diagonal/>
    </border>
    <border>
      <left/>
      <right style="thin">
        <color auto="1"/>
      </right>
      <top/>
      <bottom style="hair">
        <color auto="1"/>
      </bottom>
      <diagonal/>
    </border>
    <border>
      <left style="thin">
        <color auto="1"/>
      </left>
      <right style="double">
        <color auto="1"/>
      </right>
      <top/>
      <bottom style="hair">
        <color auto="1"/>
      </bottom>
      <diagonal/>
    </border>
    <border>
      <left style="thin">
        <color indexed="64"/>
      </left>
      <right style="double">
        <color auto="1"/>
      </right>
      <top/>
      <bottom/>
      <diagonal/>
    </border>
    <border>
      <left style="thin">
        <color indexed="64"/>
      </left>
      <right style="double">
        <color auto="1"/>
      </right>
      <top style="double">
        <color auto="1"/>
      </top>
      <bottom/>
      <diagonal/>
    </border>
    <border>
      <left style="double">
        <color indexed="64"/>
      </left>
      <right style="double">
        <color auto="1"/>
      </right>
      <top style="hair">
        <color indexed="64"/>
      </top>
      <bottom style="double">
        <color indexed="64"/>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s>
  <cellStyleXfs count="4">
    <xf numFmtId="0" fontId="0" fillId="0" borderId="0"/>
    <xf numFmtId="43"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cellStyleXfs>
  <cellXfs count="426">
    <xf numFmtId="0" fontId="0" fillId="0" borderId="0" xfId="0"/>
    <xf numFmtId="0" fontId="0" fillId="0" borderId="0" xfId="0"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0" fillId="0" borderId="6" xfId="0" applyBorder="1" applyAlignment="1">
      <alignment vertical="center" wrapText="1"/>
    </xf>
    <xf numFmtId="0" fontId="2" fillId="0" borderId="1" xfId="0" applyFont="1" applyBorder="1" applyAlignment="1">
      <alignment horizontal="right" wrapText="1"/>
    </xf>
    <xf numFmtId="0" fontId="0" fillId="0" borderId="12" xfId="0" applyBorder="1"/>
    <xf numFmtId="0" fontId="0" fillId="0" borderId="13" xfId="0" applyBorder="1"/>
    <xf numFmtId="0" fontId="2" fillId="0" borderId="8" xfId="0" applyFont="1" applyBorder="1" applyAlignment="1">
      <alignment wrapText="1"/>
    </xf>
    <xf numFmtId="0" fontId="0" fillId="0" borderId="9" xfId="0" applyBorder="1"/>
    <xf numFmtId="0" fontId="2" fillId="0" borderId="10" xfId="0" applyFont="1" applyBorder="1" applyAlignment="1">
      <alignment horizontal="center" wrapText="1"/>
    </xf>
    <xf numFmtId="0" fontId="0" fillId="0" borderId="11" xfId="0" applyBorder="1"/>
    <xf numFmtId="0" fontId="2" fillId="0" borderId="10" xfId="0" applyFont="1" applyBorder="1" applyAlignment="1">
      <alignment wrapText="1"/>
    </xf>
    <xf numFmtId="0" fontId="2" fillId="0" borderId="10" xfId="0" applyFont="1" applyBorder="1"/>
    <xf numFmtId="0" fontId="2" fillId="0" borderId="10" xfId="0" applyFont="1" applyBorder="1" applyAlignment="1">
      <alignment horizontal="center"/>
    </xf>
    <xf numFmtId="0" fontId="0" fillId="0" borderId="11" xfId="0" applyBorder="1" applyAlignment="1">
      <alignment horizontal="center"/>
    </xf>
    <xf numFmtId="0" fontId="0" fillId="0" borderId="10" xfId="0" applyBorder="1"/>
    <xf numFmtId="0" fontId="2" fillId="2" borderId="6" xfId="0" applyFont="1" applyFill="1" applyBorder="1"/>
    <xf numFmtId="0" fontId="0" fillId="2" borderId="7" xfId="0" applyFill="1" applyBorder="1"/>
    <xf numFmtId="0" fontId="2" fillId="2" borderId="6" xfId="0" applyFont="1" applyFill="1" applyBorder="1" applyAlignment="1">
      <alignment vertical="center" wrapText="1"/>
    </xf>
    <xf numFmtId="0" fontId="2" fillId="0" borderId="10" xfId="0" applyFont="1" applyBorder="1" applyAlignment="1">
      <alignment horizontal="center" vertical="center"/>
    </xf>
    <xf numFmtId="0" fontId="1" fillId="0" borderId="17" xfId="0" applyFont="1" applyBorder="1" applyAlignment="1">
      <alignment horizontal="center" wrapText="1"/>
    </xf>
    <xf numFmtId="0" fontId="1" fillId="0" borderId="17" xfId="0" applyFont="1" applyBorder="1" applyAlignment="1">
      <alignment horizontal="left"/>
    </xf>
    <xf numFmtId="0" fontId="0" fillId="0" borderId="17" xfId="0" applyFont="1" applyBorder="1" applyAlignment="1">
      <alignment horizontal="center" wrapText="1"/>
    </xf>
    <xf numFmtId="0" fontId="0" fillId="0" borderId="17" xfId="0" applyBorder="1"/>
    <xf numFmtId="43" fontId="0" fillId="0" borderId="17" xfId="1" applyFont="1" applyBorder="1" applyAlignment="1">
      <alignment horizontal="left"/>
    </xf>
    <xf numFmtId="0" fontId="0" fillId="0" borderId="17" xfId="0" applyFont="1" applyBorder="1" applyAlignment="1">
      <alignment horizontal="left"/>
    </xf>
    <xf numFmtId="43" fontId="0" fillId="0" borderId="17" xfId="1" applyFont="1" applyBorder="1" applyAlignment="1">
      <alignment horizontal="left" vertical="top"/>
    </xf>
    <xf numFmtId="43" fontId="0" fillId="0" borderId="17" xfId="0" applyNumberFormat="1" applyFont="1" applyBorder="1" applyAlignment="1">
      <alignment horizontal="left"/>
    </xf>
    <xf numFmtId="0" fontId="1" fillId="0" borderId="17" xfId="0" applyFont="1" applyBorder="1" applyAlignment="1">
      <alignment horizontal="center"/>
    </xf>
    <xf numFmtId="43" fontId="1" fillId="0" borderId="17" xfId="0" applyNumberFormat="1" applyFont="1" applyBorder="1"/>
    <xf numFmtId="2" fontId="0" fillId="0" borderId="17" xfId="0" applyNumberFormat="1" applyFont="1" applyBorder="1" applyAlignment="1">
      <alignment horizontal="left"/>
    </xf>
    <xf numFmtId="0" fontId="0" fillId="0" borderId="17" xfId="0" applyBorder="1" applyAlignment="1">
      <alignment horizontal="center"/>
    </xf>
    <xf numFmtId="0" fontId="0" fillId="0" borderId="17" xfId="0" applyFont="1" applyBorder="1" applyAlignment="1">
      <alignment horizontal="left" wrapText="1"/>
    </xf>
    <xf numFmtId="0" fontId="1" fillId="0" borderId="17" xfId="0" applyFont="1" applyBorder="1" applyAlignment="1">
      <alignment horizontal="right"/>
    </xf>
    <xf numFmtId="0" fontId="1" fillId="0" borderId="0" xfId="0" applyFont="1"/>
    <xf numFmtId="0" fontId="0" fillId="0" borderId="17" xfId="0" applyBorder="1" applyAlignment="1">
      <alignment horizontal="right"/>
    </xf>
    <xf numFmtId="2" fontId="0" fillId="0" borderId="17" xfId="0" applyNumberFormat="1" applyFont="1" applyBorder="1" applyAlignment="1">
      <alignment horizontal="right"/>
    </xf>
    <xf numFmtId="0" fontId="1" fillId="0" borderId="17" xfId="0" applyFont="1" applyBorder="1" applyAlignment="1">
      <alignment horizontal="left" vertical="center"/>
    </xf>
    <xf numFmtId="43" fontId="0" fillId="0" borderId="17" xfId="1" applyFont="1" applyBorder="1" applyAlignment="1">
      <alignment horizontal="right" vertical="center"/>
    </xf>
    <xf numFmtId="0" fontId="0" fillId="0" borderId="17" xfId="0" applyBorder="1" applyAlignment="1">
      <alignment horizontal="right" vertical="center"/>
    </xf>
    <xf numFmtId="2" fontId="0" fillId="0" borderId="17" xfId="0" applyNumberFormat="1" applyFont="1" applyBorder="1" applyAlignment="1">
      <alignment horizontal="right" vertical="center"/>
    </xf>
    <xf numFmtId="0" fontId="0" fillId="0" borderId="17" xfId="0" applyBorder="1" applyAlignment="1">
      <alignment vertical="center"/>
    </xf>
    <xf numFmtId="43" fontId="0" fillId="0" borderId="17" xfId="1" applyFont="1" applyBorder="1" applyAlignment="1">
      <alignment horizontal="left" vertical="center"/>
    </xf>
    <xf numFmtId="43" fontId="0" fillId="0" borderId="17" xfId="1" applyFont="1" applyBorder="1" applyAlignment="1">
      <alignment horizontal="right"/>
    </xf>
    <xf numFmtId="0" fontId="1" fillId="0" borderId="17" xfId="0" applyFont="1" applyBorder="1" applyAlignment="1">
      <alignment horizontal="center" vertical="center" wrapText="1"/>
    </xf>
    <xf numFmtId="0" fontId="1" fillId="0" borderId="17" xfId="0" applyFont="1" applyBorder="1" applyAlignment="1">
      <alignment horizontal="center" vertical="center"/>
    </xf>
    <xf numFmtId="43" fontId="0" fillId="0" borderId="17" xfId="1" applyFont="1" applyBorder="1" applyAlignment="1">
      <alignment horizontal="center" vertical="center"/>
    </xf>
    <xf numFmtId="0" fontId="0" fillId="0" borderId="17" xfId="0" applyFont="1" applyBorder="1" applyAlignment="1">
      <alignment horizontal="center" vertical="center"/>
    </xf>
    <xf numFmtId="0" fontId="0" fillId="0" borderId="17" xfId="0" applyBorder="1" applyAlignment="1">
      <alignment horizontal="center" vertical="center"/>
    </xf>
    <xf numFmtId="2" fontId="0" fillId="0" borderId="17" xfId="0" applyNumberFormat="1" applyFont="1" applyBorder="1" applyAlignment="1">
      <alignment horizontal="center" vertical="center"/>
    </xf>
    <xf numFmtId="0" fontId="0" fillId="0" borderId="18" xfId="0" applyBorder="1"/>
    <xf numFmtId="0" fontId="0" fillId="0" borderId="19" xfId="0" applyBorder="1"/>
    <xf numFmtId="0" fontId="1" fillId="0" borderId="20" xfId="0" applyFont="1" applyBorder="1" applyAlignment="1">
      <alignment horizontal="right"/>
    </xf>
    <xf numFmtId="43" fontId="0" fillId="0" borderId="0" xfId="0" applyNumberFormat="1"/>
    <xf numFmtId="43" fontId="0" fillId="0" borderId="17" xfId="0" applyNumberFormat="1" applyFont="1" applyBorder="1" applyAlignment="1">
      <alignment horizontal="center" vertical="center"/>
    </xf>
    <xf numFmtId="43" fontId="0" fillId="0" borderId="17" xfId="0" applyNumberFormat="1" applyFont="1" applyBorder="1" applyAlignment="1">
      <alignment horizontal="right" vertical="center"/>
    </xf>
    <xf numFmtId="10" fontId="0" fillId="0" borderId="0" xfId="2" applyNumberFormat="1" applyFont="1"/>
    <xf numFmtId="43" fontId="0" fillId="0" borderId="17" xfId="0" applyNumberFormat="1" applyBorder="1" applyAlignment="1">
      <alignment horizontal="right" vertical="center"/>
    </xf>
    <xf numFmtId="43" fontId="0" fillId="0" borderId="17" xfId="0" applyNumberFormat="1" applyFont="1" applyBorder="1" applyAlignment="1">
      <alignment horizontal="right"/>
    </xf>
    <xf numFmtId="43" fontId="0" fillId="0" borderId="17" xfId="0" applyNumberFormat="1" applyBorder="1" applyAlignment="1">
      <alignment horizontal="right"/>
    </xf>
    <xf numFmtId="0" fontId="0" fillId="0" borderId="17" xfId="0" applyFont="1" applyBorder="1" applyAlignment="1">
      <alignment horizontal="center" vertical="center" wrapText="1"/>
    </xf>
    <xf numFmtId="0" fontId="0" fillId="0" borderId="17" xfId="0" applyFont="1" applyBorder="1" applyAlignment="1">
      <alignment horizontal="left" vertical="center" wrapText="1"/>
    </xf>
    <xf numFmtId="0" fontId="0" fillId="0" borderId="17" xfId="0" applyFont="1" applyBorder="1" applyAlignment="1">
      <alignment horizontal="left" vertical="center"/>
    </xf>
    <xf numFmtId="43" fontId="0" fillId="0" borderId="17" xfId="0" applyNumberFormat="1" applyFont="1" applyBorder="1" applyAlignment="1">
      <alignment horizontal="left" vertical="center"/>
    </xf>
    <xf numFmtId="43" fontId="0" fillId="0" borderId="17" xfId="1" applyFont="1" applyBorder="1" applyAlignment="1">
      <alignment horizontal="center"/>
    </xf>
    <xf numFmtId="0" fontId="0" fillId="0" borderId="17" xfId="0" applyFont="1" applyBorder="1" applyAlignment="1">
      <alignment horizontal="center"/>
    </xf>
    <xf numFmtId="43" fontId="0" fillId="3" borderId="17" xfId="0" applyNumberFormat="1" applyFont="1" applyFill="1" applyBorder="1" applyAlignment="1">
      <alignment horizontal="left" vertical="center"/>
    </xf>
    <xf numFmtId="0" fontId="1" fillId="4" borderId="17" xfId="0" applyFont="1" applyFill="1" applyBorder="1" applyAlignment="1">
      <alignment horizontal="center" wrapText="1"/>
    </xf>
    <xf numFmtId="0" fontId="1" fillId="4" borderId="17" xfId="0" applyFont="1" applyFill="1" applyBorder="1" applyAlignment="1">
      <alignment horizontal="left"/>
    </xf>
    <xf numFmtId="0" fontId="1" fillId="4" borderId="17" xfId="0" applyFont="1" applyFill="1" applyBorder="1" applyAlignment="1">
      <alignment horizontal="center" vertical="center"/>
    </xf>
    <xf numFmtId="43" fontId="1" fillId="4" borderId="17" xfId="0" applyNumberFormat="1" applyFont="1" applyFill="1" applyBorder="1" applyAlignment="1">
      <alignment horizontal="right"/>
    </xf>
    <xf numFmtId="43" fontId="1" fillId="4" borderId="17" xfId="0" applyNumberFormat="1" applyFont="1" applyFill="1" applyBorder="1" applyAlignment="1">
      <alignment horizontal="center"/>
    </xf>
    <xf numFmtId="43" fontId="6" fillId="0" borderId="7" xfId="0" applyNumberFormat="1" applyFont="1" applyBorder="1" applyAlignment="1">
      <alignment vertical="center"/>
    </xf>
    <xf numFmtId="43" fontId="6" fillId="0" borderId="1" xfId="0" applyNumberFormat="1" applyFont="1" applyBorder="1"/>
    <xf numFmtId="0" fontId="1" fillId="4" borderId="17" xfId="0" applyFont="1" applyFill="1" applyBorder="1" applyAlignment="1">
      <alignment horizontal="center"/>
    </xf>
    <xf numFmtId="0" fontId="1" fillId="4" borderId="17" xfId="0" applyFont="1" applyFill="1" applyBorder="1" applyAlignment="1">
      <alignment horizontal="right" vertical="center"/>
    </xf>
    <xf numFmtId="43" fontId="1" fillId="4" borderId="17" xfId="0" applyNumberFormat="1" applyFont="1" applyFill="1" applyBorder="1" applyAlignment="1">
      <alignment horizontal="right" vertical="center"/>
    </xf>
    <xf numFmtId="43" fontId="1" fillId="4" borderId="17" xfId="0" applyNumberFormat="1" applyFont="1" applyFill="1" applyBorder="1" applyAlignment="1">
      <alignment horizontal="center" vertical="center"/>
    </xf>
    <xf numFmtId="0" fontId="1" fillId="4" borderId="17" xfId="0" applyFont="1" applyFill="1" applyBorder="1" applyAlignment="1">
      <alignment horizontal="right"/>
    </xf>
    <xf numFmtId="2" fontId="0" fillId="0" borderId="17" xfId="0" applyNumberFormat="1" applyFont="1" applyBorder="1" applyAlignment="1">
      <alignment horizontal="right"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4" borderId="24" xfId="0" applyFont="1" applyFill="1" applyBorder="1" applyAlignment="1">
      <alignment horizontal="center" wrapText="1"/>
    </xf>
    <xf numFmtId="0" fontId="1" fillId="4" borderId="25" xfId="0" applyFont="1" applyFill="1" applyBorder="1" applyAlignment="1">
      <alignment horizontal="left"/>
    </xf>
    <xf numFmtId="0" fontId="0" fillId="0" borderId="24" xfId="0" applyFont="1" applyBorder="1" applyAlignment="1">
      <alignment horizontal="center" wrapText="1"/>
    </xf>
    <xf numFmtId="43" fontId="0" fillId="0" borderId="25" xfId="0" applyNumberFormat="1" applyFont="1" applyFill="1" applyBorder="1" applyAlignment="1">
      <alignment horizontal="left"/>
    </xf>
    <xf numFmtId="0" fontId="0" fillId="0" borderId="24" xfId="0" applyBorder="1"/>
    <xf numFmtId="43" fontId="1" fillId="0" borderId="25" xfId="0" applyNumberFormat="1" applyFont="1" applyFill="1" applyBorder="1"/>
    <xf numFmtId="43" fontId="0" fillId="0" borderId="25" xfId="0" applyNumberFormat="1" applyFont="1" applyFill="1" applyBorder="1" applyAlignment="1">
      <alignment horizontal="left" vertical="center"/>
    </xf>
    <xf numFmtId="43" fontId="0" fillId="0" borderId="25" xfId="0" applyNumberFormat="1" applyFont="1" applyBorder="1" applyAlignment="1">
      <alignment horizontal="left"/>
    </xf>
    <xf numFmtId="0" fontId="0" fillId="0" borderId="26" xfId="0" applyBorder="1"/>
    <xf numFmtId="0" fontId="0" fillId="0" borderId="27" xfId="0" applyBorder="1"/>
    <xf numFmtId="0" fontId="1" fillId="0" borderId="28" xfId="0" applyFont="1" applyBorder="1" applyAlignment="1">
      <alignment horizontal="right"/>
    </xf>
    <xf numFmtId="0" fontId="0" fillId="0" borderId="29" xfId="0" applyBorder="1" applyAlignment="1">
      <alignment horizontal="center"/>
    </xf>
    <xf numFmtId="0" fontId="0" fillId="0" borderId="29" xfId="0" applyBorder="1"/>
    <xf numFmtId="0" fontId="0" fillId="0" borderId="29" xfId="0" applyBorder="1" applyAlignment="1">
      <alignment horizontal="center" vertical="center"/>
    </xf>
    <xf numFmtId="43" fontId="1" fillId="0" borderId="30" xfId="0" applyNumberFormat="1" applyFont="1" applyBorder="1"/>
    <xf numFmtId="43" fontId="1" fillId="0" borderId="25" xfId="0" applyNumberFormat="1" applyFont="1" applyBorder="1"/>
    <xf numFmtId="0" fontId="0" fillId="0" borderId="24" xfId="0" applyFont="1" applyBorder="1" applyAlignment="1">
      <alignment horizontal="center" vertical="center" wrapText="1"/>
    </xf>
    <xf numFmtId="43" fontId="0" fillId="0" borderId="25" xfId="0" applyNumberFormat="1" applyFont="1" applyBorder="1" applyAlignment="1">
      <alignment horizontal="left" vertical="center"/>
    </xf>
    <xf numFmtId="43" fontId="0" fillId="3" borderId="25" xfId="0" applyNumberFormat="1" applyFont="1" applyFill="1" applyBorder="1" applyAlignment="1">
      <alignment horizontal="left" vertical="center"/>
    </xf>
    <xf numFmtId="0" fontId="1" fillId="0" borderId="17" xfId="0" applyFont="1" applyBorder="1" applyAlignment="1">
      <alignment horizontal="center" wrapText="1"/>
    </xf>
    <xf numFmtId="0" fontId="1" fillId="0" borderId="17" xfId="0" applyFont="1" applyBorder="1" applyAlignment="1">
      <alignment horizontal="center" vertical="center" wrapText="1"/>
    </xf>
    <xf numFmtId="0" fontId="1" fillId="4" borderId="17" xfId="0" applyFont="1" applyFill="1" applyBorder="1" applyAlignment="1">
      <alignment horizontal="center" wrapText="1"/>
    </xf>
    <xf numFmtId="164" fontId="0" fillId="0" borderId="0" xfId="3" applyFont="1"/>
    <xf numFmtId="2" fontId="0" fillId="0" borderId="17" xfId="0" applyNumberFormat="1" applyFont="1" applyBorder="1" applyAlignment="1">
      <alignment horizontal="left" vertical="center"/>
    </xf>
    <xf numFmtId="0" fontId="0" fillId="0" borderId="0" xfId="0" applyBorder="1"/>
    <xf numFmtId="2" fontId="0" fillId="0" borderId="31" xfId="0" applyNumberFormat="1" applyBorder="1" applyAlignment="1">
      <alignment horizontal="center"/>
    </xf>
    <xf numFmtId="0" fontId="0" fillId="0" borderId="31" xfId="0" applyBorder="1"/>
    <xf numFmtId="0" fontId="0" fillId="0" borderId="0" xfId="0" applyBorder="1" applyAlignment="1">
      <alignment horizontal="center"/>
    </xf>
    <xf numFmtId="0" fontId="1" fillId="4" borderId="32" xfId="0" applyFont="1" applyFill="1" applyBorder="1" applyAlignment="1">
      <alignment horizontal="center"/>
    </xf>
    <xf numFmtId="2" fontId="0" fillId="0" borderId="0" xfId="0" applyNumberFormat="1" applyBorder="1" applyAlignment="1">
      <alignment horizontal="center"/>
    </xf>
    <xf numFmtId="0" fontId="1" fillId="4" borderId="42" xfId="0" applyFont="1" applyFill="1" applyBorder="1" applyAlignment="1">
      <alignment horizontal="center"/>
    </xf>
    <xf numFmtId="2" fontId="0" fillId="0" borderId="39" xfId="0" applyNumberFormat="1" applyBorder="1" applyAlignment="1">
      <alignment horizontal="center"/>
    </xf>
    <xf numFmtId="0" fontId="0" fillId="0" borderId="39" xfId="0" applyBorder="1"/>
    <xf numFmtId="0" fontId="0" fillId="0" borderId="41" xfId="0" applyBorder="1" applyAlignment="1">
      <alignment horizontal="center"/>
    </xf>
    <xf numFmtId="0" fontId="0" fillId="0" borderId="41" xfId="0" applyBorder="1"/>
    <xf numFmtId="0" fontId="1" fillId="0" borderId="54" xfId="0" applyFont="1" applyBorder="1" applyAlignment="1">
      <alignment horizontal="center" vertical="center"/>
    </xf>
    <xf numFmtId="0" fontId="0" fillId="0" borderId="36" xfId="0" applyBorder="1" applyAlignment="1">
      <alignment horizontal="center"/>
    </xf>
    <xf numFmtId="0" fontId="0" fillId="0" borderId="38" xfId="0" applyBorder="1" applyAlignment="1">
      <alignment horizontal="center"/>
    </xf>
    <xf numFmtId="0" fontId="0" fillId="0" borderId="60" xfId="0" applyBorder="1" applyAlignment="1">
      <alignment horizontal="center"/>
    </xf>
    <xf numFmtId="0" fontId="0" fillId="0" borderId="61" xfId="0" applyBorder="1" applyAlignment="1">
      <alignment horizontal="center"/>
    </xf>
    <xf numFmtId="0" fontId="0" fillId="0" borderId="36" xfId="0" applyBorder="1" applyAlignment="1">
      <alignment horizontal="center" vertical="center"/>
    </xf>
    <xf numFmtId="2" fontId="7" fillId="0" borderId="52" xfId="0" applyNumberFormat="1" applyFont="1" applyBorder="1" applyAlignment="1">
      <alignment vertical="center"/>
    </xf>
    <xf numFmtId="2" fontId="7" fillId="0" borderId="53" xfId="0" applyNumberFormat="1" applyFont="1" applyBorder="1" applyAlignment="1">
      <alignment vertical="center"/>
    </xf>
    <xf numFmtId="2" fontId="7" fillId="0" borderId="46" xfId="0" applyNumberFormat="1" applyFont="1" applyBorder="1" applyAlignment="1">
      <alignment vertical="center"/>
    </xf>
    <xf numFmtId="0" fontId="1" fillId="4" borderId="64" xfId="0" applyFont="1" applyFill="1" applyBorder="1" applyAlignment="1">
      <alignment horizontal="center"/>
    </xf>
    <xf numFmtId="0" fontId="1" fillId="4" borderId="33" xfId="0" applyFont="1" applyFill="1" applyBorder="1" applyAlignment="1">
      <alignment horizontal="center"/>
    </xf>
    <xf numFmtId="0" fontId="0" fillId="0" borderId="49" xfId="0" applyBorder="1" applyAlignment="1">
      <alignment horizontal="center"/>
    </xf>
    <xf numFmtId="0" fontId="0" fillId="0" borderId="66" xfId="0" applyBorder="1" applyAlignment="1">
      <alignment horizontal="center"/>
    </xf>
    <xf numFmtId="0" fontId="1" fillId="6" borderId="42" xfId="0" applyFont="1" applyFill="1" applyBorder="1" applyAlignment="1">
      <alignment horizontal="center" vertical="center"/>
    </xf>
    <xf numFmtId="0" fontId="1" fillId="6" borderId="32" xfId="0" applyFont="1" applyFill="1" applyBorder="1" applyAlignment="1">
      <alignment horizontal="center" vertical="center"/>
    </xf>
    <xf numFmtId="0" fontId="1" fillId="6" borderId="70" xfId="0" applyFont="1" applyFill="1" applyBorder="1" applyAlignment="1">
      <alignment horizontal="center" vertical="center"/>
    </xf>
    <xf numFmtId="0" fontId="0" fillId="0" borderId="36" xfId="0" applyFont="1" applyBorder="1" applyAlignment="1">
      <alignment horizontal="center" vertical="center"/>
    </xf>
    <xf numFmtId="0" fontId="0" fillId="0" borderId="31" xfId="0" applyBorder="1" applyAlignment="1">
      <alignment horizontal="center" vertical="center"/>
    </xf>
    <xf numFmtId="2" fontId="9" fillId="0" borderId="37" xfId="0" applyNumberFormat="1" applyFont="1" applyFill="1" applyBorder="1" applyAlignment="1">
      <alignment vertical="center"/>
    </xf>
    <xf numFmtId="0" fontId="8" fillId="0" borderId="31" xfId="0" quotePrefix="1" applyFont="1" applyBorder="1" applyAlignment="1">
      <alignment horizontal="center" vertical="center"/>
    </xf>
    <xf numFmtId="165" fontId="8" fillId="0" borderId="31" xfId="0" quotePrefix="1" applyNumberFormat="1" applyFont="1" applyBorder="1" applyAlignment="1">
      <alignment horizontal="center" vertical="center"/>
    </xf>
    <xf numFmtId="0" fontId="0" fillId="0" borderId="38" xfId="0" applyFont="1" applyBorder="1" applyAlignment="1">
      <alignment horizontal="center" vertical="center"/>
    </xf>
    <xf numFmtId="0" fontId="0" fillId="0" borderId="39" xfId="0" applyBorder="1" applyAlignment="1">
      <alignment horizontal="center" vertical="center"/>
    </xf>
    <xf numFmtId="2" fontId="9" fillId="0" borderId="40" xfId="0" applyNumberFormat="1" applyFont="1" applyFill="1" applyBorder="1" applyAlignment="1">
      <alignment vertical="center"/>
    </xf>
    <xf numFmtId="0" fontId="0" fillId="0" borderId="54" xfId="0" applyBorder="1" applyAlignment="1">
      <alignment horizontal="center"/>
    </xf>
    <xf numFmtId="2" fontId="0" fillId="0" borderId="55" xfId="0" applyNumberFormat="1" applyBorder="1" applyAlignment="1">
      <alignment horizontal="center"/>
    </xf>
    <xf numFmtId="0" fontId="0" fillId="0" borderId="55" xfId="0" applyBorder="1" applyAlignment="1">
      <alignment horizontal="center"/>
    </xf>
    <xf numFmtId="0" fontId="0" fillId="0" borderId="55" xfId="0" applyBorder="1"/>
    <xf numFmtId="2" fontId="0" fillId="0" borderId="34" xfId="0" applyNumberFormat="1" applyBorder="1" applyAlignment="1">
      <alignment horizontal="center"/>
    </xf>
    <xf numFmtId="0" fontId="0" fillId="0" borderId="34" xfId="0" applyBorder="1" applyAlignment="1">
      <alignment horizontal="center"/>
    </xf>
    <xf numFmtId="0" fontId="0" fillId="0" borderId="34" xfId="0" applyBorder="1"/>
    <xf numFmtId="0" fontId="0" fillId="0" borderId="67" xfId="0" applyBorder="1" applyAlignment="1">
      <alignment horizontal="center"/>
    </xf>
    <xf numFmtId="4" fontId="9" fillId="0" borderId="37" xfId="0" applyNumberFormat="1" applyFont="1" applyBorder="1" applyAlignment="1"/>
    <xf numFmtId="4" fontId="9" fillId="0" borderId="37" xfId="0" applyNumberFormat="1" applyFont="1" applyBorder="1" applyAlignment="1">
      <alignment vertical="center"/>
    </xf>
    <xf numFmtId="4" fontId="9" fillId="0" borderId="40" xfId="0" applyNumberFormat="1" applyFont="1" applyBorder="1" applyAlignment="1"/>
    <xf numFmtId="0" fontId="1" fillId="4" borderId="35" xfId="0" applyFont="1" applyFill="1" applyBorder="1" applyAlignment="1"/>
    <xf numFmtId="2" fontId="7" fillId="0" borderId="71" xfId="0" applyNumberFormat="1" applyFont="1" applyBorder="1" applyAlignment="1">
      <alignment vertical="center"/>
    </xf>
    <xf numFmtId="0" fontId="0" fillId="0" borderId="31" xfId="0" applyBorder="1" applyAlignment="1">
      <alignment horizontal="center"/>
    </xf>
    <xf numFmtId="0" fontId="1" fillId="0" borderId="51" xfId="0" applyFont="1" applyBorder="1" applyAlignment="1">
      <alignment horizontal="center" vertical="center"/>
    </xf>
    <xf numFmtId="0" fontId="1" fillId="0" borderId="49" xfId="0" applyFont="1"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1"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2" fontId="7" fillId="0" borderId="68" xfId="0" applyNumberFormat="1" applyFont="1" applyBorder="1" applyAlignment="1">
      <alignment vertical="center"/>
    </xf>
    <xf numFmtId="0" fontId="1" fillId="0" borderId="46" xfId="0" applyFont="1" applyBorder="1" applyAlignment="1">
      <alignment horizontal="center" vertical="center"/>
    </xf>
    <xf numFmtId="0" fontId="0" fillId="0" borderId="46" xfId="0" applyBorder="1" applyAlignment="1">
      <alignment horizontal="center"/>
    </xf>
    <xf numFmtId="0" fontId="0" fillId="0" borderId="47" xfId="0" applyBorder="1" applyAlignment="1">
      <alignment horizontal="center"/>
    </xf>
    <xf numFmtId="2" fontId="7" fillId="0" borderId="46" xfId="0" applyNumberFormat="1" applyFont="1" applyBorder="1" applyAlignment="1">
      <alignment horizontal="center" vertical="center"/>
    </xf>
    <xf numFmtId="0" fontId="1" fillId="0" borderId="50" xfId="0" applyFont="1" applyBorder="1" applyAlignment="1">
      <alignment horizontal="center" vertical="center"/>
    </xf>
    <xf numFmtId="0" fontId="1" fillId="4" borderId="33" xfId="0" applyFont="1" applyFill="1" applyBorder="1" applyAlignment="1">
      <alignment horizontal="center" vertical="center"/>
    </xf>
    <xf numFmtId="0" fontId="1" fillId="4" borderId="34" xfId="0" applyFont="1" applyFill="1" applyBorder="1" applyAlignment="1">
      <alignment horizontal="center" vertical="center"/>
    </xf>
    <xf numFmtId="0" fontId="1" fillId="4" borderId="35" xfId="0" applyFont="1" applyFill="1" applyBorder="1" applyAlignment="1">
      <alignment vertical="center"/>
    </xf>
    <xf numFmtId="0" fontId="1" fillId="4" borderId="74" xfId="0" applyFont="1" applyFill="1" applyBorder="1" applyAlignment="1">
      <alignment vertical="center"/>
    </xf>
    <xf numFmtId="4" fontId="9" fillId="0" borderId="75" xfId="0" applyNumberFormat="1" applyFont="1" applyBorder="1" applyAlignment="1"/>
    <xf numFmtId="4" fontId="9" fillId="0" borderId="73" xfId="0" applyNumberFormat="1" applyFont="1" applyBorder="1" applyAlignment="1"/>
    <xf numFmtId="0" fontId="8" fillId="0" borderId="31" xfId="0" quotePrefix="1"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4" fontId="9" fillId="0" borderId="40" xfId="0" applyNumberFormat="1" applyFont="1" applyBorder="1" applyAlignment="1">
      <alignment vertic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vertical="center"/>
    </xf>
    <xf numFmtId="0" fontId="1" fillId="0" borderId="46" xfId="0" applyFont="1" applyBorder="1" applyAlignment="1">
      <alignment horizontal="center" vertical="center"/>
    </xf>
    <xf numFmtId="0" fontId="1" fillId="4" borderId="34" xfId="0" applyFont="1" applyFill="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4" fontId="9" fillId="0" borderId="37" xfId="0" quotePrefix="1" applyNumberFormat="1" applyFont="1" applyBorder="1" applyAlignment="1">
      <alignment vertic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Border="1" applyAlignment="1">
      <alignment horizontal="center" vertical="center"/>
    </xf>
    <xf numFmtId="0" fontId="0" fillId="0" borderId="39" xfId="0" applyFont="1"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vertic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43" fontId="0" fillId="0" borderId="0" xfId="1" applyFont="1"/>
    <xf numFmtId="43" fontId="0" fillId="0" borderId="0" xfId="1" applyNumberFormat="1" applyFont="1"/>
    <xf numFmtId="0" fontId="1" fillId="4" borderId="18" xfId="0" applyFont="1" applyFill="1" applyBorder="1" applyAlignment="1">
      <alignment horizontal="center" wrapText="1"/>
    </xf>
    <xf numFmtId="43" fontId="0" fillId="3" borderId="25" xfId="0" applyNumberFormat="1" applyFont="1" applyFill="1" applyBorder="1" applyAlignment="1">
      <alignment horizontal="left"/>
    </xf>
    <xf numFmtId="43" fontId="0" fillId="3" borderId="18" xfId="0" applyNumberFormat="1" applyFont="1" applyFill="1" applyBorder="1" applyAlignment="1">
      <alignment horizontal="left"/>
    </xf>
    <xf numFmtId="0" fontId="1" fillId="4" borderId="78"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17" xfId="0" applyFont="1" applyFill="1" applyBorder="1" applyAlignment="1">
      <alignment horizontal="center" wrapText="1"/>
    </xf>
    <xf numFmtId="0" fontId="1" fillId="4" borderId="17" xfId="0" applyFont="1" applyFill="1" applyBorder="1" applyAlignment="1">
      <alignment horizontal="center" vertical="center" wrapText="1"/>
    </xf>
    <xf numFmtId="0" fontId="0" fillId="0" borderId="83" xfId="0" applyBorder="1"/>
    <xf numFmtId="0" fontId="0" fillId="0" borderId="83" xfId="0" applyBorder="1" applyAlignment="1">
      <alignment horizontal="center"/>
    </xf>
    <xf numFmtId="0" fontId="0" fillId="0" borderId="8" xfId="0" applyBorder="1" applyAlignment="1"/>
    <xf numFmtId="0" fontId="0" fillId="0" borderId="76" xfId="0" applyBorder="1" applyAlignment="1"/>
    <xf numFmtId="0" fontId="0" fillId="0" borderId="9" xfId="0" applyBorder="1" applyAlignment="1"/>
    <xf numFmtId="0" fontId="1" fillId="3" borderId="0" xfId="0" applyFont="1" applyFill="1" applyBorder="1" applyAlignment="1">
      <alignment horizontal="center"/>
    </xf>
    <xf numFmtId="0" fontId="1" fillId="3" borderId="0" xfId="0" applyFont="1" applyFill="1" applyBorder="1" applyAlignment="1">
      <alignment horizontal="center" vertical="center"/>
    </xf>
    <xf numFmtId="0" fontId="0" fillId="0" borderId="84" xfId="0" applyBorder="1" applyAlignment="1"/>
    <xf numFmtId="0" fontId="0" fillId="3" borderId="24" xfId="0" applyFont="1" applyFill="1" applyBorder="1" applyAlignment="1">
      <alignment horizontal="center" wrapText="1"/>
    </xf>
    <xf numFmtId="0" fontId="0" fillId="3" borderId="18" xfId="0" applyFill="1" applyBorder="1" applyAlignment="1">
      <alignment horizontal="center"/>
    </xf>
    <xf numFmtId="43" fontId="0" fillId="3" borderId="17" xfId="1" applyFont="1" applyFill="1" applyBorder="1" applyAlignment="1">
      <alignment horizontal="center"/>
    </xf>
    <xf numFmtId="0" fontId="0" fillId="3" borderId="17" xfId="0" applyFont="1" applyFill="1" applyBorder="1" applyAlignment="1">
      <alignment horizontal="center"/>
    </xf>
    <xf numFmtId="0" fontId="1" fillId="4" borderId="17" xfId="0" applyFont="1" applyFill="1" applyBorder="1" applyAlignment="1">
      <alignment horizontal="center" wrapText="1"/>
    </xf>
    <xf numFmtId="43" fontId="1" fillId="4" borderId="25" xfId="0" applyNumberFormat="1" applyFont="1" applyFill="1" applyBorder="1" applyAlignment="1">
      <alignment horizontal="center"/>
    </xf>
    <xf numFmtId="43" fontId="1" fillId="4" borderId="18" xfId="0" applyNumberFormat="1" applyFont="1" applyFill="1" applyBorder="1" applyAlignment="1">
      <alignment horizontal="center"/>
    </xf>
    <xf numFmtId="0" fontId="12" fillId="3" borderId="24" xfId="0" applyFont="1" applyFill="1" applyBorder="1" applyAlignment="1">
      <alignment horizontal="center" wrapText="1"/>
    </xf>
    <xf numFmtId="0" fontId="12" fillId="3" borderId="17" xfId="0" applyFont="1" applyFill="1" applyBorder="1" applyAlignment="1">
      <alignment horizontal="center" wrapText="1"/>
    </xf>
    <xf numFmtId="43" fontId="12" fillId="3" borderId="17" xfId="1" applyFont="1" applyFill="1" applyBorder="1" applyAlignment="1">
      <alignment horizontal="center"/>
    </xf>
    <xf numFmtId="0" fontId="12" fillId="3" borderId="17" xfId="0" applyFont="1" applyFill="1" applyBorder="1" applyAlignment="1">
      <alignment horizontal="center"/>
    </xf>
    <xf numFmtId="43" fontId="12" fillId="3" borderId="18" xfId="0" applyNumberFormat="1" applyFont="1" applyFill="1" applyBorder="1" applyAlignment="1">
      <alignment horizontal="left"/>
    </xf>
    <xf numFmtId="43" fontId="12" fillId="3" borderId="25" xfId="0" applyNumberFormat="1" applyFont="1" applyFill="1" applyBorder="1" applyAlignment="1">
      <alignment horizontal="left"/>
    </xf>
    <xf numFmtId="0" fontId="1" fillId="4" borderId="17" xfId="0" applyFont="1" applyFill="1" applyBorder="1" applyAlignment="1">
      <alignment horizontal="center" wrapText="1"/>
    </xf>
    <xf numFmtId="4" fontId="0" fillId="3" borderId="17" xfId="0" applyNumberFormat="1" applyFont="1" applyFill="1" applyBorder="1" applyAlignment="1">
      <alignment horizontal="right" wrapText="1"/>
    </xf>
    <xf numFmtId="4" fontId="0" fillId="3" borderId="17" xfId="0" applyNumberFormat="1" applyFont="1" applyFill="1" applyBorder="1" applyAlignment="1">
      <alignment horizontal="right"/>
    </xf>
    <xf numFmtId="4" fontId="12" fillId="3" borderId="17" xfId="1" applyNumberFormat="1" applyFont="1" applyFill="1" applyBorder="1" applyAlignment="1">
      <alignment horizontal="right" wrapText="1"/>
    </xf>
    <xf numFmtId="4" fontId="12" fillId="3" borderId="17" xfId="0" applyNumberFormat="1" applyFont="1" applyFill="1" applyBorder="1" applyAlignment="1">
      <alignment horizontal="right"/>
    </xf>
    <xf numFmtId="4" fontId="1" fillId="4" borderId="17" xfId="0" applyNumberFormat="1" applyFont="1" applyFill="1" applyBorder="1" applyAlignment="1">
      <alignment horizontal="center"/>
    </xf>
    <xf numFmtId="4" fontId="0" fillId="3" borderId="17" xfId="1" applyNumberFormat="1" applyFont="1" applyFill="1" applyBorder="1" applyAlignment="1">
      <alignment horizontal="right"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43" fontId="6" fillId="0" borderId="14" xfId="0" applyNumberFormat="1" applyFont="1" applyBorder="1" applyAlignment="1">
      <alignment vertical="center"/>
    </xf>
    <xf numFmtId="0" fontId="6" fillId="0" borderId="15" xfId="0" applyFont="1" applyBorder="1" applyAlignment="1">
      <alignment vertical="center"/>
    </xf>
    <xf numFmtId="43" fontId="6" fillId="0" borderId="14" xfId="0" applyNumberFormat="1" applyFont="1" applyBorder="1" applyAlignment="1">
      <alignment horizontal="center" vertical="center"/>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0" fillId="0" borderId="18" xfId="0" applyBorder="1" applyAlignment="1">
      <alignment horizontal="left"/>
    </xf>
    <xf numFmtId="0" fontId="0" fillId="0" borderId="19" xfId="0" applyBorder="1" applyAlignment="1">
      <alignment horizontal="left"/>
    </xf>
    <xf numFmtId="0" fontId="0" fillId="0" borderId="20" xfId="0" applyBorder="1" applyAlignment="1">
      <alignment horizontal="left"/>
    </xf>
    <xf numFmtId="0" fontId="0" fillId="0" borderId="18" xfId="0" applyBorder="1" applyAlignment="1">
      <alignment horizontal="left" wrapText="1"/>
    </xf>
    <xf numFmtId="0" fontId="0" fillId="0" borderId="19" xfId="0" applyBorder="1" applyAlignment="1">
      <alignment horizontal="left" wrapText="1"/>
    </xf>
    <xf numFmtId="0" fontId="0" fillId="0" borderId="20" xfId="0" applyBorder="1" applyAlignment="1">
      <alignment horizontal="left" wrapText="1"/>
    </xf>
    <xf numFmtId="0" fontId="1" fillId="0" borderId="17" xfId="0" applyFont="1" applyBorder="1" applyAlignment="1">
      <alignment horizontal="right"/>
    </xf>
    <xf numFmtId="0" fontId="1" fillId="4" borderId="17" xfId="0" applyFont="1" applyFill="1" applyBorder="1" applyAlignment="1">
      <alignment horizontal="center" wrapText="1"/>
    </xf>
    <xf numFmtId="0" fontId="0" fillId="0" borderId="18" xfId="0" applyBorder="1" applyAlignment="1">
      <alignment horizontal="left" vertical="center"/>
    </xf>
    <xf numFmtId="0" fontId="0" fillId="0" borderId="19" xfId="0" applyBorder="1" applyAlignment="1">
      <alignment horizontal="left" vertical="center"/>
    </xf>
    <xf numFmtId="0" fontId="0" fillId="0" borderId="20" xfId="0" applyBorder="1" applyAlignment="1">
      <alignment horizontal="left" vertical="center"/>
    </xf>
    <xf numFmtId="0" fontId="1" fillId="0" borderId="21" xfId="0" applyFont="1" applyBorder="1" applyAlignment="1">
      <alignment horizontal="center" wrapText="1"/>
    </xf>
    <xf numFmtId="0" fontId="1" fillId="0" borderId="22" xfId="0" applyFont="1" applyBorder="1" applyAlignment="1">
      <alignment horizontal="center" wrapText="1"/>
    </xf>
    <xf numFmtId="0" fontId="1" fillId="0" borderId="24" xfId="0" applyFont="1" applyBorder="1" applyAlignment="1">
      <alignment horizontal="center" wrapText="1"/>
    </xf>
    <xf numFmtId="0" fontId="1" fillId="0" borderId="17" xfId="0" applyFont="1" applyBorder="1" applyAlignment="1">
      <alignment horizontal="center" wrapText="1"/>
    </xf>
    <xf numFmtId="0" fontId="1" fillId="0" borderId="22" xfId="0" applyFont="1" applyBorder="1" applyAlignment="1">
      <alignment horizontal="left"/>
    </xf>
    <xf numFmtId="0" fontId="1" fillId="0" borderId="23"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xf>
    <xf numFmtId="0" fontId="1" fillId="0" borderId="17" xfId="0" applyFont="1" applyBorder="1" applyAlignment="1">
      <alignment horizontal="center"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1" fillId="4" borderId="77" xfId="0" applyFont="1" applyFill="1" applyBorder="1" applyAlignment="1">
      <alignment horizontal="right"/>
    </xf>
    <xf numFmtId="0" fontId="1" fillId="4" borderId="27" xfId="0" applyFont="1" applyFill="1" applyBorder="1" applyAlignment="1">
      <alignment horizontal="right"/>
    </xf>
    <xf numFmtId="0" fontId="1" fillId="4" borderId="28" xfId="0" applyFont="1" applyFill="1" applyBorder="1" applyAlignment="1">
      <alignment horizontal="right"/>
    </xf>
    <xf numFmtId="0" fontId="1" fillId="0" borderId="8" xfId="0" applyFont="1" applyBorder="1" applyAlignment="1">
      <alignment horizontal="center" wrapText="1"/>
    </xf>
    <xf numFmtId="0" fontId="1" fillId="0" borderId="76"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1" fillId="0" borderId="0" xfId="0" applyFont="1" applyBorder="1" applyAlignment="1">
      <alignment horizontal="center" wrapText="1"/>
    </xf>
    <xf numFmtId="0" fontId="1" fillId="0" borderId="11" xfId="0" applyFont="1" applyBorder="1" applyAlignment="1">
      <alignment horizontal="center" wrapText="1"/>
    </xf>
    <xf numFmtId="0" fontId="1" fillId="0" borderId="79" xfId="0" applyFont="1" applyBorder="1" applyAlignment="1">
      <alignment horizontal="center" wrapText="1"/>
    </xf>
    <xf numFmtId="0" fontId="1" fillId="0" borderId="80" xfId="0" applyFont="1" applyBorder="1" applyAlignment="1">
      <alignment horizontal="center" wrapText="1"/>
    </xf>
    <xf numFmtId="0" fontId="1" fillId="0" borderId="81" xfId="0" applyFont="1" applyBorder="1" applyAlignment="1">
      <alignment horizontal="center" wrapText="1"/>
    </xf>
    <xf numFmtId="0" fontId="2" fillId="3" borderId="24" xfId="0" applyFont="1" applyFill="1" applyBorder="1" applyAlignment="1">
      <alignment horizontal="left" wrapText="1"/>
    </xf>
    <xf numFmtId="0" fontId="2" fillId="3" borderId="17" xfId="0" applyFont="1" applyFill="1" applyBorder="1" applyAlignment="1">
      <alignment horizontal="left" wrapText="1"/>
    </xf>
    <xf numFmtId="0" fontId="2" fillId="3" borderId="18" xfId="0" applyFont="1" applyFill="1" applyBorder="1" applyAlignment="1">
      <alignment horizontal="left" wrapText="1"/>
    </xf>
    <xf numFmtId="0" fontId="2" fillId="3" borderId="25" xfId="0" applyFont="1" applyFill="1" applyBorder="1" applyAlignment="1">
      <alignment horizontal="left" wrapText="1"/>
    </xf>
    <xf numFmtId="0" fontId="2" fillId="3" borderId="24" xfId="0" applyFont="1" applyFill="1" applyBorder="1" applyAlignment="1">
      <alignment horizontal="left"/>
    </xf>
    <xf numFmtId="0" fontId="2" fillId="3" borderId="17" xfId="0" applyFont="1" applyFill="1" applyBorder="1" applyAlignment="1">
      <alignment horizontal="left"/>
    </xf>
    <xf numFmtId="0" fontId="2" fillId="3" borderId="18" xfId="0" applyFont="1" applyFill="1" applyBorder="1" applyAlignment="1">
      <alignment horizontal="left"/>
    </xf>
    <xf numFmtId="0" fontId="2" fillId="3" borderId="25" xfId="0" applyFont="1" applyFill="1" applyBorder="1" applyAlignment="1">
      <alignment horizontal="left"/>
    </xf>
    <xf numFmtId="0" fontId="2" fillId="3" borderId="18" xfId="0" applyFont="1" applyFill="1" applyBorder="1" applyAlignment="1">
      <alignment horizontal="center"/>
    </xf>
    <xf numFmtId="0" fontId="2" fillId="3" borderId="19" xfId="0" applyFont="1" applyFill="1" applyBorder="1" applyAlignment="1">
      <alignment horizontal="center"/>
    </xf>
    <xf numFmtId="0" fontId="2" fillId="3" borderId="82" xfId="0" applyFont="1" applyFill="1" applyBorder="1" applyAlignment="1">
      <alignment horizontal="center"/>
    </xf>
    <xf numFmtId="0" fontId="0" fillId="3" borderId="18" xfId="0" applyFill="1" applyBorder="1" applyAlignment="1">
      <alignment horizontal="left" wrapText="1"/>
    </xf>
    <xf numFmtId="0" fontId="0" fillId="3" borderId="19" xfId="0" applyFill="1" applyBorder="1" applyAlignment="1">
      <alignment horizontal="left" wrapText="1"/>
    </xf>
    <xf numFmtId="0" fontId="0" fillId="3" borderId="20" xfId="0" applyFill="1" applyBorder="1" applyAlignment="1">
      <alignment horizontal="left" wrapText="1"/>
    </xf>
    <xf numFmtId="0" fontId="12" fillId="3" borderId="18" xfId="0" applyFont="1" applyFill="1" applyBorder="1" applyAlignment="1">
      <alignment horizontal="left" wrapText="1"/>
    </xf>
    <xf numFmtId="0" fontId="12" fillId="3" borderId="19" xfId="0" applyFont="1" applyFill="1" applyBorder="1" applyAlignment="1">
      <alignment horizontal="left" wrapText="1"/>
    </xf>
    <xf numFmtId="0" fontId="12" fillId="3" borderId="20" xfId="0" applyFont="1" applyFill="1" applyBorder="1" applyAlignment="1">
      <alignment horizontal="left" wrapText="1"/>
    </xf>
    <xf numFmtId="0" fontId="1" fillId="4" borderId="18" xfId="0" applyFont="1" applyFill="1" applyBorder="1" applyAlignment="1">
      <alignment horizontal="left" wrapText="1"/>
    </xf>
    <xf numFmtId="0" fontId="1" fillId="4" borderId="19" xfId="0" applyFont="1" applyFill="1" applyBorder="1" applyAlignment="1">
      <alignment horizontal="left" wrapText="1"/>
    </xf>
    <xf numFmtId="0" fontId="1" fillId="4" borderId="20" xfId="0" applyFont="1" applyFill="1" applyBorder="1" applyAlignment="1">
      <alignment horizontal="left" wrapText="1"/>
    </xf>
    <xf numFmtId="0" fontId="1" fillId="4" borderId="17" xfId="0" applyFont="1" applyFill="1" applyBorder="1" applyAlignment="1">
      <alignment horizontal="center" vertical="center" wrapText="1"/>
    </xf>
    <xf numFmtId="0" fontId="0" fillId="3" borderId="18" xfId="0" applyFont="1" applyFill="1" applyBorder="1" applyAlignment="1">
      <alignment horizontal="left" wrapText="1"/>
    </xf>
    <xf numFmtId="0" fontId="0" fillId="3" borderId="19" xfId="0" applyFont="1" applyFill="1" applyBorder="1" applyAlignment="1">
      <alignment horizontal="left" wrapText="1"/>
    </xf>
    <xf numFmtId="0" fontId="0" fillId="3" borderId="20" xfId="0" applyFont="1" applyFill="1" applyBorder="1" applyAlignment="1">
      <alignment horizontal="left" wrapText="1"/>
    </xf>
    <xf numFmtId="0" fontId="0" fillId="0" borderId="60" xfId="0" applyFont="1" applyBorder="1" applyAlignment="1">
      <alignment horizontal="center" vertical="center"/>
    </xf>
    <xf numFmtId="0" fontId="0" fillId="0" borderId="65" xfId="0" applyFont="1" applyBorder="1" applyAlignment="1">
      <alignment horizontal="center" vertical="center"/>
    </xf>
    <xf numFmtId="2" fontId="1" fillId="0" borderId="49" xfId="0" applyNumberFormat="1" applyFont="1" applyBorder="1" applyAlignment="1">
      <alignment horizontal="center" vertical="center"/>
    </xf>
    <xf numFmtId="0" fontId="1" fillId="0" borderId="46" xfId="0" applyFont="1" applyBorder="1" applyAlignment="1">
      <alignment horizontal="center" vertical="center"/>
    </xf>
    <xf numFmtId="0" fontId="1" fillId="0" borderId="51"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0"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7" xfId="0" applyFont="1" applyBorder="1" applyAlignment="1">
      <alignment horizontal="center" vertical="center" wrapText="1"/>
    </xf>
    <xf numFmtId="16" fontId="2" fillId="5" borderId="43" xfId="0" applyNumberFormat="1" applyFont="1" applyFill="1" applyBorder="1" applyAlignment="1">
      <alignment horizontal="center"/>
    </xf>
    <xf numFmtId="16" fontId="2" fillId="5" borderId="44" xfId="0" applyNumberFormat="1" applyFont="1" applyFill="1" applyBorder="1" applyAlignment="1">
      <alignment horizontal="center"/>
    </xf>
    <xf numFmtId="16" fontId="2" fillId="5" borderId="45" xfId="0" applyNumberFormat="1" applyFont="1" applyFill="1" applyBorder="1" applyAlignment="1">
      <alignment horizontal="center"/>
    </xf>
    <xf numFmtId="2" fontId="7" fillId="0" borderId="56" xfId="0" applyNumberFormat="1" applyFont="1" applyBorder="1" applyAlignment="1">
      <alignment horizontal="center" vertical="center"/>
    </xf>
    <xf numFmtId="2" fontId="7" fillId="0" borderId="71" xfId="0" applyNumberFormat="1" applyFont="1" applyBorder="1" applyAlignment="1">
      <alignment horizontal="center" vertical="center"/>
    </xf>
    <xf numFmtId="0" fontId="1" fillId="7" borderId="57" xfId="0" applyFont="1" applyFill="1" applyBorder="1" applyAlignment="1">
      <alignment horizontal="center" vertical="center"/>
    </xf>
    <xf numFmtId="0" fontId="1" fillId="7" borderId="59" xfId="0" applyFont="1" applyFill="1" applyBorder="1" applyAlignment="1">
      <alignment horizontal="center" vertical="center"/>
    </xf>
    <xf numFmtId="2" fontId="7" fillId="0" borderId="72" xfId="0" applyNumberFormat="1" applyFont="1" applyBorder="1" applyAlignment="1">
      <alignment horizontal="center" vertical="center"/>
    </xf>
    <xf numFmtId="2" fontId="7" fillId="0" borderId="68" xfId="0" applyNumberFormat="1" applyFont="1" applyBorder="1" applyAlignment="1">
      <alignment horizontal="center" vertical="center"/>
    </xf>
    <xf numFmtId="2" fontId="7" fillId="7" borderId="57" xfId="0" applyNumberFormat="1" applyFont="1" applyFill="1" applyBorder="1" applyAlignment="1">
      <alignment horizontal="center" vertical="center"/>
    </xf>
    <xf numFmtId="2" fontId="7" fillId="7" borderId="58" xfId="0" applyNumberFormat="1" applyFont="1" applyFill="1" applyBorder="1" applyAlignment="1">
      <alignment horizontal="center" vertical="center"/>
    </xf>
    <xf numFmtId="0" fontId="1" fillId="5" borderId="51" xfId="0" applyFont="1" applyFill="1" applyBorder="1" applyAlignment="1">
      <alignment horizontal="center" vertical="center"/>
    </xf>
    <xf numFmtId="0" fontId="1" fillId="5" borderId="48" xfId="0" applyFont="1" applyFill="1" applyBorder="1" applyAlignment="1">
      <alignment horizontal="center" vertical="center"/>
    </xf>
    <xf numFmtId="0" fontId="1" fillId="5" borderId="50" xfId="0" applyFont="1" applyFill="1" applyBorder="1" applyAlignment="1">
      <alignment horizontal="center" vertical="center"/>
    </xf>
    <xf numFmtId="0" fontId="1" fillId="5" borderId="54" xfId="0" applyFont="1" applyFill="1" applyBorder="1" applyAlignment="1">
      <alignment horizontal="center" vertical="center"/>
    </xf>
    <xf numFmtId="0" fontId="1" fillId="5" borderId="41" xfId="0" applyFont="1" applyFill="1" applyBorder="1" applyAlignment="1">
      <alignment horizontal="center" vertical="center"/>
    </xf>
    <xf numFmtId="0" fontId="1" fillId="5" borderId="47" xfId="0" applyFont="1" applyFill="1" applyBorder="1" applyAlignment="1">
      <alignment horizontal="center" vertical="center"/>
    </xf>
    <xf numFmtId="0" fontId="1" fillId="6" borderId="62" xfId="0" applyFont="1" applyFill="1" applyBorder="1" applyAlignment="1">
      <alignment horizontal="center" vertical="center"/>
    </xf>
    <xf numFmtId="0" fontId="1" fillId="6" borderId="69" xfId="0" applyFont="1" applyFill="1" applyBorder="1" applyAlignment="1">
      <alignment horizontal="center" vertical="center"/>
    </xf>
    <xf numFmtId="0" fontId="1" fillId="5" borderId="49" xfId="0" applyFont="1" applyFill="1" applyBorder="1" applyAlignment="1">
      <alignment horizontal="center" vertical="center"/>
    </xf>
    <xf numFmtId="0" fontId="1" fillId="5" borderId="46" xfId="0" applyFont="1" applyFill="1" applyBorder="1" applyAlignment="1">
      <alignment horizontal="center" vertical="center"/>
    </xf>
    <xf numFmtId="0" fontId="1" fillId="4" borderId="34" xfId="0" applyFont="1" applyFill="1" applyBorder="1" applyAlignment="1">
      <alignment horizontal="center" vertical="center"/>
    </xf>
    <xf numFmtId="0" fontId="0" fillId="0" borderId="61" xfId="0" applyFont="1" applyBorder="1" applyAlignment="1">
      <alignment horizontal="center" vertical="center"/>
    </xf>
    <xf numFmtId="0" fontId="0" fillId="0" borderId="63" xfId="0" applyFont="1" applyBorder="1" applyAlignment="1">
      <alignment horizontal="center" vertical="center"/>
    </xf>
    <xf numFmtId="2" fontId="1" fillId="0" borderId="54" xfId="0" applyNumberFormat="1" applyFont="1" applyBorder="1" applyAlignment="1">
      <alignment horizontal="center" vertical="center"/>
    </xf>
    <xf numFmtId="0" fontId="1" fillId="0" borderId="47" xfId="0" applyFont="1" applyBorder="1" applyAlignment="1">
      <alignment horizontal="center" vertical="center"/>
    </xf>
    <xf numFmtId="0" fontId="1" fillId="5" borderId="51"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1" fillId="5" borderId="50" xfId="0" applyFont="1" applyFill="1" applyBorder="1" applyAlignment="1">
      <alignment horizontal="center" vertical="center" wrapText="1"/>
    </xf>
    <xf numFmtId="0" fontId="1" fillId="5" borderId="54" xfId="0" applyFont="1" applyFill="1" applyBorder="1" applyAlignment="1">
      <alignment horizontal="center" vertical="center" wrapText="1"/>
    </xf>
    <xf numFmtId="0" fontId="1" fillId="5" borderId="41" xfId="0" applyFont="1" applyFill="1" applyBorder="1" applyAlignment="1">
      <alignment horizontal="center" vertical="center" wrapText="1"/>
    </xf>
    <xf numFmtId="0" fontId="1" fillId="5" borderId="47" xfId="0" applyFont="1" applyFill="1" applyBorder="1" applyAlignment="1">
      <alignment horizontal="center" vertical="center" wrapText="1"/>
    </xf>
    <xf numFmtId="0" fontId="0" fillId="0" borderId="31" xfId="0" applyFont="1" applyBorder="1" applyAlignment="1">
      <alignment horizontal="center" vertical="center"/>
    </xf>
    <xf numFmtId="0" fontId="8" fillId="0" borderId="31" xfId="0" quotePrefix="1" applyFont="1" applyBorder="1" applyAlignment="1">
      <alignment horizontal="center" vertical="center"/>
    </xf>
    <xf numFmtId="0" fontId="8" fillId="0" borderId="31" xfId="0" quotePrefix="1" applyFont="1" applyBorder="1" applyAlignment="1">
      <alignment horizontal="center" vertical="center" wrapText="1"/>
    </xf>
    <xf numFmtId="0" fontId="8" fillId="0" borderId="31" xfId="0" applyFont="1" applyBorder="1" applyAlignment="1">
      <alignment horizontal="center" vertical="center"/>
    </xf>
    <xf numFmtId="166" fontId="10" fillId="0" borderId="31" xfId="0" applyNumberFormat="1" applyFont="1" applyBorder="1" applyAlignment="1">
      <alignment horizontal="center" vertical="center"/>
    </xf>
    <xf numFmtId="166" fontId="8" fillId="0" borderId="31" xfId="0" applyNumberFormat="1" applyFont="1" applyBorder="1" applyAlignment="1">
      <alignment horizontal="center" vertical="center"/>
    </xf>
    <xf numFmtId="0" fontId="0" fillId="0" borderId="39" xfId="0" applyFont="1" applyBorder="1" applyAlignment="1">
      <alignment horizontal="center" vertical="center"/>
    </xf>
    <xf numFmtId="0" fontId="0" fillId="0" borderId="39" xfId="0" quotePrefix="1" applyBorder="1" applyAlignment="1">
      <alignment horizontal="center" vertical="center"/>
    </xf>
    <xf numFmtId="0" fontId="0" fillId="0" borderId="39" xfId="0" applyBorder="1" applyAlignment="1">
      <alignment horizontal="center" vertical="center"/>
    </xf>
    <xf numFmtId="0" fontId="1" fillId="8" borderId="57" xfId="0" applyFont="1" applyFill="1" applyBorder="1" applyAlignment="1">
      <alignment horizontal="center" vertical="center"/>
    </xf>
    <xf numFmtId="0" fontId="1" fillId="8" borderId="58" xfId="0" applyFont="1" applyFill="1" applyBorder="1" applyAlignment="1">
      <alignment horizontal="center" vertical="center"/>
    </xf>
    <xf numFmtId="0" fontId="0" fillId="0" borderId="31" xfId="0" applyFont="1" applyBorder="1" applyAlignment="1">
      <alignment horizontal="center"/>
    </xf>
    <xf numFmtId="0" fontId="8" fillId="0" borderId="31" xfId="0" quotePrefix="1" applyFont="1" applyBorder="1" applyAlignment="1">
      <alignment horizontal="center"/>
    </xf>
    <xf numFmtId="166" fontId="8" fillId="0" borderId="31" xfId="0" applyNumberFormat="1" applyFont="1" applyBorder="1" applyAlignment="1">
      <alignment horizontal="center"/>
    </xf>
    <xf numFmtId="0" fontId="0" fillId="0" borderId="39" xfId="0" applyFont="1" applyBorder="1" applyAlignment="1">
      <alignment horizontal="center"/>
    </xf>
    <xf numFmtId="0" fontId="8" fillId="0" borderId="31" xfId="0" applyFont="1" applyBorder="1" applyAlignment="1">
      <alignment horizontal="center"/>
    </xf>
    <xf numFmtId="16" fontId="2" fillId="5" borderId="51" xfId="0" applyNumberFormat="1" applyFont="1" applyFill="1" applyBorder="1" applyAlignment="1">
      <alignment horizontal="center"/>
    </xf>
    <xf numFmtId="16" fontId="2" fillId="5" borderId="48" xfId="0" applyNumberFormat="1" applyFont="1" applyFill="1" applyBorder="1" applyAlignment="1">
      <alignment horizontal="center"/>
    </xf>
    <xf numFmtId="16" fontId="2" fillId="5" borderId="50" xfId="0" applyNumberFormat="1" applyFont="1" applyFill="1" applyBorder="1" applyAlignment="1">
      <alignment horizontal="center"/>
    </xf>
    <xf numFmtId="2" fontId="7" fillId="0" borderId="52" xfId="0" applyNumberFormat="1" applyFont="1" applyBorder="1" applyAlignment="1">
      <alignment horizontal="center" vertical="center"/>
    </xf>
    <xf numFmtId="2" fontId="7" fillId="0" borderId="53" xfId="0" applyNumberFormat="1" applyFont="1" applyBorder="1" applyAlignment="1">
      <alignment horizontal="center" vertical="center"/>
    </xf>
    <xf numFmtId="16" fontId="2" fillId="9" borderId="54" xfId="0" applyNumberFormat="1" applyFont="1" applyFill="1" applyBorder="1" applyAlignment="1">
      <alignment horizontal="center"/>
    </xf>
    <xf numFmtId="16" fontId="2" fillId="9" borderId="41" xfId="0" applyNumberFormat="1" applyFont="1" applyFill="1" applyBorder="1" applyAlignment="1">
      <alignment horizontal="center"/>
    </xf>
    <xf numFmtId="16" fontId="2" fillId="9" borderId="47" xfId="0" applyNumberFormat="1" applyFont="1" applyFill="1" applyBorder="1" applyAlignment="1">
      <alignment horizontal="center"/>
    </xf>
    <xf numFmtId="0" fontId="1" fillId="4" borderId="34" xfId="0" applyFont="1" applyFill="1" applyBorder="1" applyAlignment="1">
      <alignment horizontal="center"/>
    </xf>
    <xf numFmtId="0" fontId="0" fillId="0" borderId="39" xfId="0" quotePrefix="1" applyBorder="1" applyAlignment="1">
      <alignment horizontal="center"/>
    </xf>
    <xf numFmtId="0" fontId="0" fillId="0" borderId="39" xfId="0" applyBorder="1" applyAlignment="1">
      <alignment horizontal="center"/>
    </xf>
    <xf numFmtId="166" fontId="10" fillId="0" borderId="31" xfId="0" applyNumberFormat="1" applyFont="1" applyBorder="1" applyAlignment="1">
      <alignment horizontal="center"/>
    </xf>
  </cellXfs>
  <cellStyles count="4">
    <cellStyle name="Moeda" xfId="3" builtinId="4"/>
    <cellStyle name="Normal" xfId="0" builtinId="0"/>
    <cellStyle name="Porcentagem" xfId="2" builtinId="5"/>
    <cellStyle name="Vírgula" xfId="1" builtinId="3"/>
  </cellStyles>
  <dxfs count="0"/>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129377</xdr:colOff>
      <xdr:row>0</xdr:row>
      <xdr:rowOff>123265</xdr:rowOff>
    </xdr:from>
    <xdr:to>
      <xdr:col>0</xdr:col>
      <xdr:colOff>761440</xdr:colOff>
      <xdr:row>1</xdr:row>
      <xdr:rowOff>356469</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77" y="123265"/>
          <a:ext cx="632063" cy="700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419100</xdr:colOff>
      <xdr:row>0</xdr:row>
      <xdr:rowOff>0</xdr:rowOff>
    </xdr:from>
    <xdr:to>
      <xdr:col>14</xdr:col>
      <xdr:colOff>447675</xdr:colOff>
      <xdr:row>3</xdr:row>
      <xdr:rowOff>129295</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05825" y="0"/>
          <a:ext cx="638175" cy="700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216736</xdr:colOff>
      <xdr:row>0</xdr:row>
      <xdr:rowOff>89647</xdr:rowOff>
    </xdr:from>
    <xdr:to>
      <xdr:col>14</xdr:col>
      <xdr:colOff>682438</xdr:colOff>
      <xdr:row>3</xdr:row>
      <xdr:rowOff>33618</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7148" y="89647"/>
          <a:ext cx="465702" cy="515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232042</xdr:colOff>
      <xdr:row>0</xdr:row>
      <xdr:rowOff>95251</xdr:rowOff>
    </xdr:from>
    <xdr:to>
      <xdr:col>14</xdr:col>
      <xdr:colOff>752475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57142" y="95251"/>
          <a:ext cx="52043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129377</xdr:colOff>
      <xdr:row>0</xdr:row>
      <xdr:rowOff>123265</xdr:rowOff>
    </xdr:from>
    <xdr:to>
      <xdr:col>0</xdr:col>
      <xdr:colOff>761440</xdr:colOff>
      <xdr:row>1</xdr:row>
      <xdr:rowOff>356469</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77" y="123265"/>
          <a:ext cx="632063" cy="699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62294</xdr:colOff>
      <xdr:row>0</xdr:row>
      <xdr:rowOff>76201</xdr:rowOff>
    </xdr:from>
    <xdr:to>
      <xdr:col>14</xdr:col>
      <xdr:colOff>600075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6494" y="76201"/>
          <a:ext cx="537781"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232042</xdr:colOff>
      <xdr:row>0</xdr:row>
      <xdr:rowOff>95251</xdr:rowOff>
    </xdr:from>
    <xdr:to>
      <xdr:col>14</xdr:col>
      <xdr:colOff>752475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80942" y="95251"/>
          <a:ext cx="52043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9524</xdr:colOff>
      <xdr:row>0</xdr:row>
      <xdr:rowOff>9525</xdr:rowOff>
    </xdr:from>
    <xdr:to>
      <xdr:col>15</xdr:col>
      <xdr:colOff>1371600</xdr:colOff>
      <xdr:row>3</xdr:row>
      <xdr:rowOff>1238250</xdr:rowOff>
    </xdr:to>
    <xdr:pic>
      <xdr:nvPicPr>
        <xdr:cNvPr id="3" name="Imagem 2"/>
        <xdr:cNvPicPr/>
      </xdr:nvPicPr>
      <xdr:blipFill>
        <a:blip xmlns:r="http://schemas.openxmlformats.org/officeDocument/2006/relationships" r:embed="rId1"/>
        <a:srcRect/>
        <a:stretch>
          <a:fillRect/>
        </a:stretch>
      </xdr:blipFill>
      <xdr:spPr bwMode="auto">
        <a:xfrm>
          <a:off x="9524" y="9525"/>
          <a:ext cx="13496926" cy="1800225"/>
        </a:xfrm>
        <a:prstGeom prst="rect">
          <a:avLst/>
        </a:prstGeom>
        <a:noFill/>
        <a:ln w="9525">
          <a:noFill/>
          <a:miter lim="800000"/>
          <a:headEnd/>
          <a:tailEnd/>
        </a:ln>
      </xdr:spPr>
    </xdr:pic>
    <xdr:clientData/>
  </xdr:twoCellAnchor>
  <xdr:twoCellAnchor editAs="oneCell">
    <xdr:from>
      <xdr:col>0</xdr:col>
      <xdr:colOff>19050</xdr:colOff>
      <xdr:row>22</xdr:row>
      <xdr:rowOff>38100</xdr:rowOff>
    </xdr:from>
    <xdr:to>
      <xdr:col>15</xdr:col>
      <xdr:colOff>1362075</xdr:colOff>
      <xdr:row>30</xdr:row>
      <xdr:rowOff>168844</xdr:rowOff>
    </xdr:to>
    <xdr:pic>
      <xdr:nvPicPr>
        <xdr:cNvPr id="4" name="Imagem 3"/>
        <xdr:cNvPicPr/>
      </xdr:nvPicPr>
      <xdr:blipFill>
        <a:blip xmlns:r="http://schemas.openxmlformats.org/officeDocument/2006/relationships" r:embed="rId2"/>
        <a:srcRect/>
        <a:stretch>
          <a:fillRect/>
        </a:stretch>
      </xdr:blipFill>
      <xdr:spPr bwMode="auto">
        <a:xfrm>
          <a:off x="19050" y="9163050"/>
          <a:ext cx="13477875" cy="165474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91808</xdr:colOff>
      <xdr:row>0</xdr:row>
      <xdr:rowOff>100853</xdr:rowOff>
    </xdr:from>
    <xdr:to>
      <xdr:col>2</xdr:col>
      <xdr:colOff>979715</xdr:colOff>
      <xdr:row>3</xdr:row>
      <xdr:rowOff>0</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08" y="100853"/>
          <a:ext cx="2602407" cy="470647"/>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1482"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33"/>
  <sheetViews>
    <sheetView view="pageBreakPreview" zoomScale="55" zoomScaleNormal="70" zoomScaleSheetLayoutView="55" workbookViewId="0">
      <selection activeCell="K9" sqref="K9"/>
    </sheetView>
  </sheetViews>
  <sheetFormatPr defaultRowHeight="15" x14ac:dyDescent="0.25"/>
  <cols>
    <col min="1" max="1" width="122.7109375" customWidth="1"/>
    <col min="2" max="2" width="30.5703125" customWidth="1"/>
  </cols>
  <sheetData>
    <row r="1" spans="1:2" ht="36.75" customHeight="1" x14ac:dyDescent="0.25">
      <c r="A1" s="283" t="s">
        <v>9</v>
      </c>
      <c r="B1" s="284"/>
    </row>
    <row r="2" spans="1:2" ht="36.75" customHeight="1" x14ac:dyDescent="0.25">
      <c r="A2" s="285"/>
      <c r="B2" s="286"/>
    </row>
    <row r="3" spans="1:2" ht="97.5" customHeight="1" x14ac:dyDescent="0.25">
      <c r="A3" s="287" t="s">
        <v>14</v>
      </c>
      <c r="B3" s="288"/>
    </row>
    <row r="4" spans="1:2" ht="12.75" customHeight="1" thickBot="1" x14ac:dyDescent="0.3">
      <c r="A4" s="6"/>
      <c r="B4" s="7"/>
    </row>
    <row r="5" spans="1:2" ht="19.5" thickBot="1" x14ac:dyDescent="0.3">
      <c r="A5" s="281" t="s">
        <v>2</v>
      </c>
      <c r="B5" s="282"/>
    </row>
    <row r="6" spans="1:2" ht="18.75" x14ac:dyDescent="0.3">
      <c r="A6" s="2" t="s">
        <v>3</v>
      </c>
      <c r="B6" s="3" t="s">
        <v>4</v>
      </c>
    </row>
    <row r="7" spans="1:2" ht="18.75" x14ac:dyDescent="0.3">
      <c r="A7" s="17" t="s">
        <v>1</v>
      </c>
      <c r="B7" s="18"/>
    </row>
    <row r="8" spans="1:2" ht="45" x14ac:dyDescent="0.25">
      <c r="A8" s="4" t="s">
        <v>15</v>
      </c>
      <c r="B8" s="289">
        <f>'CPU-01'!O9</f>
        <v>8786</v>
      </c>
    </row>
    <row r="9" spans="1:2" ht="45" x14ac:dyDescent="0.25">
      <c r="A9" s="4" t="s">
        <v>16</v>
      </c>
      <c r="B9" s="290"/>
    </row>
    <row r="10" spans="1:2" ht="18.75" x14ac:dyDescent="0.25">
      <c r="A10" s="19" t="s">
        <v>0</v>
      </c>
      <c r="B10" s="18"/>
    </row>
    <row r="11" spans="1:2" ht="75" x14ac:dyDescent="0.25">
      <c r="A11" s="4" t="s">
        <v>17</v>
      </c>
      <c r="B11" s="291">
        <f>'CPU-01'!O27</f>
        <v>6923243</v>
      </c>
    </row>
    <row r="12" spans="1:2" ht="60" x14ac:dyDescent="0.25">
      <c r="A12" s="4" t="s">
        <v>18</v>
      </c>
      <c r="B12" s="292"/>
    </row>
    <row r="13" spans="1:2" ht="75" x14ac:dyDescent="0.25">
      <c r="A13" s="4" t="s">
        <v>19</v>
      </c>
      <c r="B13" s="292"/>
    </row>
    <row r="14" spans="1:2" ht="105" x14ac:dyDescent="0.25">
      <c r="A14" s="4" t="s">
        <v>20</v>
      </c>
      <c r="B14" s="292"/>
    </row>
    <row r="15" spans="1:2" ht="90" x14ac:dyDescent="0.25">
      <c r="A15" s="4" t="s">
        <v>21</v>
      </c>
      <c r="B15" s="292"/>
    </row>
    <row r="16" spans="1:2" ht="60" x14ac:dyDescent="0.25">
      <c r="A16" s="4" t="s">
        <v>22</v>
      </c>
      <c r="B16" s="292"/>
    </row>
    <row r="17" spans="1:2" ht="90" x14ac:dyDescent="0.25">
      <c r="A17" s="4" t="s">
        <v>23</v>
      </c>
      <c r="B17" s="292"/>
    </row>
    <row r="18" spans="1:2" ht="270" x14ac:dyDescent="0.25">
      <c r="A18" s="4" t="s">
        <v>24</v>
      </c>
      <c r="B18" s="293"/>
    </row>
    <row r="19" spans="1:2" ht="18.75" x14ac:dyDescent="0.25">
      <c r="A19" s="19" t="s">
        <v>26</v>
      </c>
      <c r="B19" s="18"/>
    </row>
    <row r="20" spans="1:2" ht="120.75" thickBot="1" x14ac:dyDescent="0.3">
      <c r="A20" s="4" t="s">
        <v>25</v>
      </c>
      <c r="B20" s="73">
        <f>'CPU-01'!O31</f>
        <v>2467971</v>
      </c>
    </row>
    <row r="21" spans="1:2" ht="32.25" thickBot="1" x14ac:dyDescent="0.55000000000000004">
      <c r="A21" s="5" t="s">
        <v>10</v>
      </c>
      <c r="B21" s="74">
        <f>B8+B11+B20</f>
        <v>9400000</v>
      </c>
    </row>
    <row r="22" spans="1:2" ht="18.75" x14ac:dyDescent="0.3">
      <c r="A22" s="8"/>
      <c r="B22" s="9"/>
    </row>
    <row r="23" spans="1:2" ht="18.75" x14ac:dyDescent="0.3">
      <c r="A23" s="10" t="s">
        <v>13</v>
      </c>
      <c r="B23" s="11"/>
    </row>
    <row r="24" spans="1:2" ht="18.75" x14ac:dyDescent="0.3">
      <c r="A24" s="12"/>
      <c r="B24" s="11"/>
    </row>
    <row r="25" spans="1:2" ht="18.75" x14ac:dyDescent="0.3">
      <c r="A25" s="12"/>
      <c r="B25" s="11"/>
    </row>
    <row r="26" spans="1:2" ht="18.75" x14ac:dyDescent="0.25">
      <c r="A26" s="20" t="s">
        <v>27</v>
      </c>
      <c r="B26" s="11"/>
    </row>
    <row r="27" spans="1:2" ht="18.75" x14ac:dyDescent="0.3">
      <c r="A27" s="13"/>
      <c r="B27" s="11"/>
    </row>
    <row r="28" spans="1:2" ht="55.5" customHeight="1" x14ac:dyDescent="0.3">
      <c r="A28" s="14" t="s">
        <v>12</v>
      </c>
      <c r="B28" s="11"/>
    </row>
    <row r="29" spans="1:2" s="1" customFormat="1" ht="25.5" customHeight="1" x14ac:dyDescent="0.3">
      <c r="A29" s="14" t="s">
        <v>11</v>
      </c>
      <c r="B29" s="15"/>
    </row>
    <row r="30" spans="1:2" ht="25.5" customHeight="1" x14ac:dyDescent="0.3">
      <c r="A30" s="14" t="s">
        <v>29</v>
      </c>
      <c r="B30" s="11"/>
    </row>
    <row r="31" spans="1:2" ht="25.5" customHeight="1" x14ac:dyDescent="0.3">
      <c r="A31" s="14" t="s">
        <v>28</v>
      </c>
      <c r="B31" s="11"/>
    </row>
    <row r="32" spans="1:2" x14ac:dyDescent="0.25">
      <c r="A32" s="16"/>
      <c r="B32" s="11"/>
    </row>
    <row r="33" spans="1:2" ht="15.75" thickBot="1" x14ac:dyDescent="0.3">
      <c r="A33" s="6"/>
      <c r="B33" s="7"/>
    </row>
  </sheetData>
  <mergeCells count="5">
    <mergeCell ref="A5:B5"/>
    <mergeCell ref="A1:B2"/>
    <mergeCell ref="A3:B3"/>
    <mergeCell ref="B8:B9"/>
    <mergeCell ref="B11:B18"/>
  </mergeCells>
  <printOptions horizontalCentered="1"/>
  <pageMargins left="0.51181102362204722" right="0.51181102362204722" top="0.55118110236220474" bottom="0.55118110236220474" header="0.31496062992125984" footer="0.31496062992125984"/>
  <pageSetup paperSize="9" scale="61" orientation="portrait" r:id="rId1"/>
  <headerFooter>
    <oddFooter>&amp;R&amp;P de &amp;N</oddFooter>
  </headerFooter>
  <rowBreaks count="1" manualBreakCount="1">
    <brk id="1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3"/>
  <sheetViews>
    <sheetView view="pageBreakPreview" topLeftCell="A56"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57" t="s">
        <v>111</v>
      </c>
      <c r="B1" s="358"/>
      <c r="C1" s="358"/>
      <c r="D1" s="358"/>
      <c r="E1" s="358"/>
      <c r="F1" s="358"/>
      <c r="G1" s="358"/>
      <c r="H1" s="359"/>
    </row>
    <row r="2" spans="1:8" x14ac:dyDescent="0.25">
      <c r="A2" s="360"/>
      <c r="B2" s="361"/>
      <c r="C2" s="361"/>
      <c r="D2" s="361"/>
      <c r="E2" s="361"/>
      <c r="F2" s="361"/>
      <c r="G2" s="361"/>
      <c r="H2" s="362"/>
    </row>
    <row r="3" spans="1:8" x14ac:dyDescent="0.25">
      <c r="A3" s="360"/>
      <c r="B3" s="361"/>
      <c r="C3" s="361"/>
      <c r="D3" s="361"/>
      <c r="E3" s="361"/>
      <c r="F3" s="361"/>
      <c r="G3" s="361"/>
      <c r="H3" s="362"/>
    </row>
    <row r="4" spans="1:8" ht="15.75" thickBot="1" x14ac:dyDescent="0.3">
      <c r="A4" s="363"/>
      <c r="B4" s="364"/>
      <c r="C4" s="364"/>
      <c r="D4" s="364"/>
      <c r="E4" s="364"/>
      <c r="F4" s="364"/>
      <c r="G4" s="364"/>
      <c r="H4" s="365"/>
    </row>
    <row r="5" spans="1:8" ht="18.75" customHeight="1" thickTop="1" thickBot="1" x14ac:dyDescent="0.35">
      <c r="A5" s="366">
        <v>43035</v>
      </c>
      <c r="B5" s="367"/>
      <c r="C5" s="367"/>
      <c r="D5" s="367"/>
      <c r="E5" s="367"/>
      <c r="F5" s="367"/>
      <c r="G5" s="368"/>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5</v>
      </c>
      <c r="C7" s="108">
        <v>7.4</v>
      </c>
      <c r="D7" s="155">
        <f t="shared" ref="D7:D21" si="0">C7*B7</f>
        <v>37</v>
      </c>
      <c r="E7" s="109" t="s">
        <v>139</v>
      </c>
      <c r="F7" s="155" t="s">
        <v>132</v>
      </c>
      <c r="G7" s="369">
        <f>SUM(D7:D14)</f>
        <v>299.05</v>
      </c>
      <c r="H7" s="178"/>
    </row>
    <row r="8" spans="1:8" ht="15" customHeight="1" x14ac:dyDescent="0.25">
      <c r="A8" s="125"/>
      <c r="B8" s="108">
        <v>8</v>
      </c>
      <c r="C8" s="108">
        <v>6</v>
      </c>
      <c r="D8" s="155">
        <f t="shared" si="0"/>
        <v>48</v>
      </c>
      <c r="E8" s="109" t="s">
        <v>139</v>
      </c>
      <c r="F8" s="155" t="s">
        <v>132</v>
      </c>
      <c r="G8" s="370"/>
      <c r="H8" s="178"/>
    </row>
    <row r="9" spans="1:8" ht="15" customHeight="1" x14ac:dyDescent="0.25">
      <c r="A9" s="125"/>
      <c r="B9" s="108">
        <v>4.4000000000000004</v>
      </c>
      <c r="C9" s="108">
        <v>4</v>
      </c>
      <c r="D9" s="155">
        <f t="shared" si="0"/>
        <v>17.600000000000001</v>
      </c>
      <c r="E9" s="109" t="s">
        <v>139</v>
      </c>
      <c r="F9" s="155" t="s">
        <v>132</v>
      </c>
      <c r="G9" s="370"/>
      <c r="H9" s="178"/>
    </row>
    <row r="10" spans="1:8" ht="15" customHeight="1" x14ac:dyDescent="0.25">
      <c r="A10" s="125"/>
      <c r="B10" s="108">
        <v>5.5</v>
      </c>
      <c r="C10" s="108">
        <v>7</v>
      </c>
      <c r="D10" s="155">
        <f t="shared" si="0"/>
        <v>38.5</v>
      </c>
      <c r="E10" s="109" t="s">
        <v>139</v>
      </c>
      <c r="F10" s="155" t="s">
        <v>132</v>
      </c>
      <c r="G10" s="370"/>
      <c r="H10" s="178"/>
    </row>
    <row r="11" spans="1:8" ht="15" customHeight="1" x14ac:dyDescent="0.25">
      <c r="A11" s="125"/>
      <c r="B11" s="108">
        <v>7</v>
      </c>
      <c r="C11" s="108">
        <v>9</v>
      </c>
      <c r="D11" s="155">
        <f t="shared" si="0"/>
        <v>63</v>
      </c>
      <c r="E11" s="109" t="s">
        <v>139</v>
      </c>
      <c r="F11" s="155" t="s">
        <v>132</v>
      </c>
      <c r="G11" s="370"/>
      <c r="H11" s="178"/>
    </row>
    <row r="12" spans="1:8" ht="15" customHeight="1" x14ac:dyDescent="0.25">
      <c r="A12" s="125"/>
      <c r="B12" s="108">
        <v>9.1999999999999993</v>
      </c>
      <c r="C12" s="108">
        <v>2.5</v>
      </c>
      <c r="D12" s="155">
        <f t="shared" si="0"/>
        <v>23</v>
      </c>
      <c r="E12" s="109" t="s">
        <v>139</v>
      </c>
      <c r="F12" s="155" t="s">
        <v>132</v>
      </c>
      <c r="G12" s="370"/>
      <c r="H12" s="178"/>
    </row>
    <row r="13" spans="1:8" ht="15" customHeight="1" x14ac:dyDescent="0.25">
      <c r="A13" s="125"/>
      <c r="B13" s="108">
        <v>7</v>
      </c>
      <c r="C13" s="108">
        <v>7</v>
      </c>
      <c r="D13" s="155">
        <f t="shared" si="0"/>
        <v>49</v>
      </c>
      <c r="E13" s="109" t="s">
        <v>139</v>
      </c>
      <c r="F13" s="155" t="s">
        <v>132</v>
      </c>
      <c r="G13" s="370"/>
      <c r="H13" s="126"/>
    </row>
    <row r="14" spans="1:8" ht="15" customHeight="1" x14ac:dyDescent="0.25">
      <c r="A14" s="125"/>
      <c r="B14" s="108">
        <v>8.5</v>
      </c>
      <c r="C14" s="108">
        <v>2.7</v>
      </c>
      <c r="D14" s="155">
        <f t="shared" si="0"/>
        <v>22.950000000000003</v>
      </c>
      <c r="E14" s="109" t="s">
        <v>139</v>
      </c>
      <c r="F14" s="155" t="s">
        <v>132</v>
      </c>
      <c r="G14" s="370"/>
      <c r="H14" s="126"/>
    </row>
    <row r="15" spans="1:8" ht="15" customHeight="1" x14ac:dyDescent="0.25">
      <c r="A15" s="125"/>
      <c r="B15" s="108">
        <v>20</v>
      </c>
      <c r="C15" s="108">
        <v>7</v>
      </c>
      <c r="D15" s="155">
        <f t="shared" si="0"/>
        <v>140</v>
      </c>
      <c r="E15" s="109" t="s">
        <v>143</v>
      </c>
      <c r="F15" s="121" t="s">
        <v>142</v>
      </c>
      <c r="G15" s="370">
        <f>SUM(D15:D21)</f>
        <v>267.88</v>
      </c>
      <c r="H15" s="126"/>
    </row>
    <row r="16" spans="1:8" ht="15" customHeight="1" x14ac:dyDescent="0.25">
      <c r="A16" s="125"/>
      <c r="B16" s="108">
        <v>1.8</v>
      </c>
      <c r="C16" s="108">
        <v>4</v>
      </c>
      <c r="D16" s="155">
        <f t="shared" si="0"/>
        <v>7.2</v>
      </c>
      <c r="E16" s="109" t="s">
        <v>143</v>
      </c>
      <c r="F16" s="121" t="s">
        <v>142</v>
      </c>
      <c r="G16" s="370"/>
      <c r="H16" s="126"/>
    </row>
    <row r="17" spans="1:8" ht="15" customHeight="1" x14ac:dyDescent="0.25">
      <c r="A17" s="125"/>
      <c r="B17" s="108">
        <v>4</v>
      </c>
      <c r="C17" s="108">
        <v>4</v>
      </c>
      <c r="D17" s="155">
        <f t="shared" si="0"/>
        <v>16</v>
      </c>
      <c r="E17" s="109" t="s">
        <v>143</v>
      </c>
      <c r="F17" s="121" t="s">
        <v>142</v>
      </c>
      <c r="G17" s="370"/>
      <c r="H17" s="126"/>
    </row>
    <row r="18" spans="1:8" ht="15" customHeight="1" x14ac:dyDescent="0.25">
      <c r="A18" s="125"/>
      <c r="B18" s="108">
        <v>3.8</v>
      </c>
      <c r="C18" s="108">
        <v>6</v>
      </c>
      <c r="D18" s="155">
        <f t="shared" si="0"/>
        <v>22.799999999999997</v>
      </c>
      <c r="E18" s="109" t="s">
        <v>143</v>
      </c>
      <c r="F18" s="121" t="s">
        <v>142</v>
      </c>
      <c r="G18" s="370"/>
      <c r="H18" s="126"/>
    </row>
    <row r="19" spans="1:8" ht="15" customHeight="1" x14ac:dyDescent="0.25">
      <c r="A19" s="125"/>
      <c r="B19" s="108">
        <v>0.9</v>
      </c>
      <c r="C19" s="108">
        <v>3.2</v>
      </c>
      <c r="D19" s="155">
        <f t="shared" si="0"/>
        <v>2.8800000000000003</v>
      </c>
      <c r="E19" s="109" t="s">
        <v>143</v>
      </c>
      <c r="F19" s="121" t="s">
        <v>142</v>
      </c>
      <c r="G19" s="370"/>
      <c r="H19" s="126"/>
    </row>
    <row r="20" spans="1:8" ht="15" customHeight="1" x14ac:dyDescent="0.25">
      <c r="A20" s="125"/>
      <c r="B20" s="108">
        <v>14.5</v>
      </c>
      <c r="C20" s="108">
        <v>4</v>
      </c>
      <c r="D20" s="155">
        <f t="shared" si="0"/>
        <v>58</v>
      </c>
      <c r="E20" s="109" t="s">
        <v>143</v>
      </c>
      <c r="F20" s="121" t="s">
        <v>142</v>
      </c>
      <c r="G20" s="370"/>
      <c r="H20" s="126"/>
    </row>
    <row r="21" spans="1:8" ht="15" customHeight="1" x14ac:dyDescent="0.25">
      <c r="A21" s="125"/>
      <c r="B21" s="108">
        <v>7</v>
      </c>
      <c r="C21" s="108">
        <v>3</v>
      </c>
      <c r="D21" s="155">
        <f t="shared" si="0"/>
        <v>21</v>
      </c>
      <c r="E21" s="109" t="s">
        <v>143</v>
      </c>
      <c r="F21" s="121" t="s">
        <v>142</v>
      </c>
      <c r="G21" s="370"/>
      <c r="H21" s="126"/>
    </row>
    <row r="22" spans="1:8" ht="15" customHeight="1" x14ac:dyDescent="0.25">
      <c r="A22" s="125"/>
      <c r="B22" s="108"/>
      <c r="C22" s="108"/>
      <c r="D22" s="155"/>
      <c r="E22" s="109"/>
      <c r="F22" s="121"/>
      <c r="G22" s="154"/>
      <c r="H22" s="126"/>
    </row>
    <row r="23" spans="1:8" ht="15" customHeight="1" x14ac:dyDescent="0.25">
      <c r="A23" s="125"/>
      <c r="B23" s="108"/>
      <c r="C23" s="108"/>
      <c r="D23" s="155"/>
      <c r="E23" s="109"/>
      <c r="F23" s="121"/>
      <c r="G23" s="154"/>
      <c r="H23" s="126"/>
    </row>
    <row r="24" spans="1:8" ht="15" customHeight="1" x14ac:dyDescent="0.25">
      <c r="A24" s="125"/>
      <c r="B24" s="108"/>
      <c r="C24" s="108"/>
      <c r="D24" s="155"/>
      <c r="E24" s="109"/>
      <c r="F24" s="121"/>
      <c r="G24" s="154"/>
      <c r="H24" s="126"/>
    </row>
    <row r="25" spans="1:8" ht="15" customHeight="1" x14ac:dyDescent="0.25">
      <c r="A25" s="125"/>
      <c r="B25" s="108"/>
      <c r="C25" s="108"/>
      <c r="D25" s="155"/>
      <c r="E25" s="109"/>
      <c r="F25" s="121"/>
      <c r="G25" s="154"/>
      <c r="H25" s="126"/>
    </row>
    <row r="26" spans="1:8" ht="15" customHeight="1" x14ac:dyDescent="0.25">
      <c r="A26" s="125"/>
      <c r="B26" s="108"/>
      <c r="C26" s="108"/>
      <c r="D26" s="155"/>
      <c r="E26" s="109"/>
      <c r="F26" s="121"/>
      <c r="G26" s="154"/>
      <c r="H26" s="126"/>
    </row>
    <row r="27" spans="1:8" ht="15" customHeight="1" x14ac:dyDescent="0.25">
      <c r="A27" s="125"/>
      <c r="B27" s="108"/>
      <c r="C27" s="108"/>
      <c r="D27" s="155"/>
      <c r="E27" s="109"/>
      <c r="F27" s="121"/>
      <c r="G27" s="154"/>
      <c r="H27" s="126"/>
    </row>
    <row r="28" spans="1:8" ht="15" customHeight="1" x14ac:dyDescent="0.25">
      <c r="A28" s="125"/>
      <c r="B28" s="108"/>
      <c r="C28" s="108"/>
      <c r="D28" s="155"/>
      <c r="E28" s="109"/>
      <c r="F28" s="121"/>
      <c r="G28" s="154"/>
      <c r="H28" s="126"/>
    </row>
    <row r="29" spans="1:8" ht="15" customHeight="1" x14ac:dyDescent="0.25">
      <c r="A29" s="125"/>
      <c r="B29" s="108"/>
      <c r="C29" s="108"/>
      <c r="D29" s="155"/>
      <c r="E29" s="109"/>
      <c r="F29" s="121"/>
      <c r="G29" s="154"/>
      <c r="H29" s="126"/>
    </row>
    <row r="30" spans="1:8" ht="15" customHeight="1" x14ac:dyDescent="0.25">
      <c r="A30" s="125"/>
      <c r="B30" s="108"/>
      <c r="C30" s="108"/>
      <c r="D30" s="155"/>
      <c r="E30" s="109"/>
      <c r="F30" s="121"/>
      <c r="G30" s="154"/>
      <c r="H30" s="126"/>
    </row>
    <row r="31" spans="1:8" ht="15" customHeight="1" x14ac:dyDescent="0.25">
      <c r="A31" s="125"/>
      <c r="B31" s="108"/>
      <c r="C31" s="108"/>
      <c r="D31" s="155"/>
      <c r="E31" s="109"/>
      <c r="F31" s="121"/>
      <c r="G31" s="154"/>
      <c r="H31" s="126"/>
    </row>
    <row r="32" spans="1:8" ht="15" customHeight="1" x14ac:dyDescent="0.25">
      <c r="A32" s="125"/>
      <c r="B32" s="108"/>
      <c r="C32" s="108"/>
      <c r="D32" s="155"/>
      <c r="E32" s="109"/>
      <c r="F32" s="121"/>
      <c r="G32" s="154"/>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71" t="s">
        <v>128</v>
      </c>
    </row>
    <row r="40" spans="1:8" ht="15" customHeight="1" thickBot="1" x14ac:dyDescent="0.3">
      <c r="A40" s="157"/>
      <c r="B40" s="143"/>
      <c r="C40" s="143"/>
      <c r="D40" s="144"/>
      <c r="E40" s="145"/>
      <c r="F40" s="130"/>
      <c r="G40" s="174"/>
      <c r="H40" s="372"/>
    </row>
    <row r="41" spans="1:8" ht="15" customHeight="1" thickTop="1" x14ac:dyDescent="0.25">
      <c r="A41" s="156"/>
      <c r="B41" s="146"/>
      <c r="C41" s="146"/>
      <c r="D41" s="147"/>
      <c r="E41" s="148"/>
      <c r="F41" s="149"/>
      <c r="G41" s="373">
        <f>SUM(D41:D42)</f>
        <v>0</v>
      </c>
      <c r="H41" s="375">
        <f>SUM(G7:G40)</f>
        <v>566.93000000000006</v>
      </c>
    </row>
    <row r="42" spans="1:8" ht="15" customHeight="1" thickBot="1" x14ac:dyDescent="0.3">
      <c r="A42" s="118"/>
      <c r="B42" s="114"/>
      <c r="C42" s="114"/>
      <c r="D42" s="165"/>
      <c r="E42" s="115"/>
      <c r="F42" s="122"/>
      <c r="G42" s="374"/>
      <c r="H42" s="376"/>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77" t="str">
        <f>"QUANTIDADES RUA OPERAÇÃO TAPA BURACO NA "&amp;UPPER(E10)</f>
        <v>QUANTIDADES RUA OPERAÇÃO TAPA BURACO NA AV. MARIA DE PAIVA GARCIA</v>
      </c>
      <c r="B45" s="378"/>
      <c r="C45" s="378"/>
      <c r="D45" s="378"/>
      <c r="E45" s="378"/>
      <c r="F45" s="379"/>
      <c r="G45" s="377" t="s">
        <v>136</v>
      </c>
      <c r="H45" s="379"/>
    </row>
    <row r="46" spans="1:8" ht="15.75" customHeight="1" thickBot="1" x14ac:dyDescent="0.3">
      <c r="A46" s="380"/>
      <c r="B46" s="381"/>
      <c r="C46" s="381"/>
      <c r="D46" s="381"/>
      <c r="E46" s="381"/>
      <c r="F46" s="382"/>
      <c r="G46" s="380"/>
      <c r="H46" s="382"/>
    </row>
    <row r="47" spans="1:8" ht="15" customHeight="1" thickTop="1" x14ac:dyDescent="0.25">
      <c r="A47" s="131" t="s">
        <v>102</v>
      </c>
      <c r="B47" s="383" t="s">
        <v>32</v>
      </c>
      <c r="C47" s="384"/>
      <c r="D47" s="132" t="s">
        <v>35</v>
      </c>
      <c r="E47" s="132" t="s">
        <v>124</v>
      </c>
      <c r="F47" s="133" t="s">
        <v>125</v>
      </c>
      <c r="G47" s="156"/>
      <c r="H47" s="179"/>
    </row>
    <row r="48" spans="1:8" ht="15.75" customHeight="1" x14ac:dyDescent="0.25">
      <c r="A48" s="134">
        <v>1</v>
      </c>
      <c r="B48" s="353" t="s">
        <v>106</v>
      </c>
      <c r="C48" s="354"/>
      <c r="D48" s="160" t="s">
        <v>105</v>
      </c>
      <c r="E48" s="135"/>
      <c r="F48" s="136">
        <f>G7</f>
        <v>299.05</v>
      </c>
      <c r="G48" s="385" t="s">
        <v>112</v>
      </c>
      <c r="H48" s="386"/>
    </row>
    <row r="49" spans="1:8" x14ac:dyDescent="0.25">
      <c r="A49" s="134">
        <v>2</v>
      </c>
      <c r="B49" s="353" t="s">
        <v>112</v>
      </c>
      <c r="C49" s="354"/>
      <c r="D49" s="160" t="s">
        <v>114</v>
      </c>
      <c r="E49" s="137" t="s">
        <v>134</v>
      </c>
      <c r="F49" s="136">
        <f>(20.32)</f>
        <v>20.32</v>
      </c>
      <c r="G49" s="355">
        <f>F49+F57</f>
        <v>35.120000000000005</v>
      </c>
      <c r="H49" s="356"/>
    </row>
    <row r="50" spans="1:8" ht="15.75" customHeight="1" x14ac:dyDescent="0.25">
      <c r="A50" s="134">
        <v>3</v>
      </c>
      <c r="B50" s="353" t="s">
        <v>113</v>
      </c>
      <c r="C50" s="354"/>
      <c r="D50" s="160" t="s">
        <v>115</v>
      </c>
      <c r="E50" s="138" t="e">
        <f>#REF!</f>
        <v>#REF!</v>
      </c>
      <c r="F50" s="136" t="e">
        <f>F49*E50</f>
        <v>#REF!</v>
      </c>
      <c r="G50" s="385" t="s">
        <v>137</v>
      </c>
      <c r="H50" s="386"/>
    </row>
    <row r="51" spans="1:8" ht="15" customHeight="1" thickBot="1" x14ac:dyDescent="0.3">
      <c r="A51" s="139">
        <v>4</v>
      </c>
      <c r="B51" s="388" t="s">
        <v>110</v>
      </c>
      <c r="C51" s="389"/>
      <c r="D51" s="161" t="s">
        <v>105</v>
      </c>
      <c r="E51" s="140"/>
      <c r="F51" s="141">
        <f>F48</f>
        <v>299.05</v>
      </c>
      <c r="G51" s="390" t="e">
        <f>F50+F58</f>
        <v>#REF!</v>
      </c>
      <c r="H51" s="391"/>
    </row>
    <row r="52" spans="1:8" ht="15" customHeight="1" thickTop="1" thickBot="1" x14ac:dyDescent="0.3">
      <c r="A52" s="157"/>
      <c r="B52" s="112"/>
      <c r="C52" s="112"/>
      <c r="D52" s="110"/>
      <c r="E52" s="107"/>
      <c r="F52" s="110"/>
      <c r="G52" s="158"/>
      <c r="H52" s="176"/>
    </row>
    <row r="53" spans="1:8" ht="15" customHeight="1" thickTop="1" x14ac:dyDescent="0.25">
      <c r="A53" s="392" t="e">
        <f>"QUANTIDADES RUA OPERAÇÃO TAPA BURACO NA "&amp;UPPER(#REF!)</f>
        <v>#REF!</v>
      </c>
      <c r="B53" s="393"/>
      <c r="C53" s="393"/>
      <c r="D53" s="393"/>
      <c r="E53" s="393"/>
      <c r="F53" s="394"/>
      <c r="G53" s="110"/>
      <c r="H53" s="176"/>
    </row>
    <row r="54" spans="1:8" ht="15.75" customHeight="1" thickBot="1" x14ac:dyDescent="0.3">
      <c r="A54" s="395"/>
      <c r="B54" s="396"/>
      <c r="C54" s="396"/>
      <c r="D54" s="396"/>
      <c r="E54" s="396"/>
      <c r="F54" s="397"/>
      <c r="G54" s="110"/>
      <c r="H54" s="176"/>
    </row>
    <row r="55" spans="1:8" ht="15" customHeight="1" thickTop="1" x14ac:dyDescent="0.25">
      <c r="A55" s="131" t="s">
        <v>102</v>
      </c>
      <c r="B55" s="383" t="s">
        <v>32</v>
      </c>
      <c r="C55" s="384"/>
      <c r="D55" s="132" t="s">
        <v>35</v>
      </c>
      <c r="E55" s="132" t="s">
        <v>124</v>
      </c>
      <c r="F55" s="133" t="s">
        <v>125</v>
      </c>
      <c r="G55" s="158"/>
      <c r="H55" s="175"/>
    </row>
    <row r="56" spans="1:8" ht="15.75" customHeight="1" x14ac:dyDescent="0.25">
      <c r="A56" s="134">
        <v>1</v>
      </c>
      <c r="B56" s="353" t="s">
        <v>106</v>
      </c>
      <c r="C56" s="354"/>
      <c r="D56" s="160" t="s">
        <v>105</v>
      </c>
      <c r="E56" s="135"/>
      <c r="F56" s="136">
        <f>G15</f>
        <v>267.88</v>
      </c>
      <c r="G56" s="158"/>
      <c r="H56" s="175"/>
    </row>
    <row r="57" spans="1:8" x14ac:dyDescent="0.25">
      <c r="A57" s="134">
        <v>2</v>
      </c>
      <c r="B57" s="353" t="s">
        <v>112</v>
      </c>
      <c r="C57" s="354"/>
      <c r="D57" s="160" t="s">
        <v>114</v>
      </c>
      <c r="E57" s="137" t="s">
        <v>135</v>
      </c>
      <c r="F57" s="136">
        <f>(14.8)</f>
        <v>14.8</v>
      </c>
      <c r="G57" s="158"/>
      <c r="H57" s="175"/>
    </row>
    <row r="58" spans="1:8" ht="15.75" customHeight="1" x14ac:dyDescent="0.25">
      <c r="A58" s="134">
        <v>3</v>
      </c>
      <c r="B58" s="353" t="s">
        <v>113</v>
      </c>
      <c r="C58" s="354"/>
      <c r="D58" s="160" t="s">
        <v>115</v>
      </c>
      <c r="E58" s="138" t="e">
        <f>#REF!</f>
        <v>#REF!</v>
      </c>
      <c r="F58" s="136" t="e">
        <f>F57*E58</f>
        <v>#REF!</v>
      </c>
      <c r="G58" s="158"/>
      <c r="H58" s="176"/>
    </row>
    <row r="59" spans="1:8" ht="15" customHeight="1" thickBot="1" x14ac:dyDescent="0.3">
      <c r="A59" s="139">
        <v>4</v>
      </c>
      <c r="B59" s="388" t="s">
        <v>110</v>
      </c>
      <c r="C59" s="389"/>
      <c r="D59" s="161" t="s">
        <v>105</v>
      </c>
      <c r="E59" s="140"/>
      <c r="F59" s="141">
        <f>F56</f>
        <v>267.88</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92" t="s">
        <v>159</v>
      </c>
      <c r="B62" s="393"/>
      <c r="C62" s="393"/>
      <c r="D62" s="393"/>
      <c r="E62" s="393"/>
      <c r="F62" s="393"/>
      <c r="G62" s="394"/>
      <c r="H62" s="175"/>
    </row>
    <row r="63" spans="1:8" ht="15.75" thickBot="1" x14ac:dyDescent="0.3">
      <c r="A63" s="395"/>
      <c r="B63" s="396"/>
      <c r="C63" s="396"/>
      <c r="D63" s="396"/>
      <c r="E63" s="396"/>
      <c r="F63" s="396"/>
      <c r="G63" s="397"/>
      <c r="H63" s="175"/>
    </row>
    <row r="64" spans="1:8" ht="20.25" customHeight="1" thickTop="1" x14ac:dyDescent="0.25">
      <c r="A64" s="180" t="s">
        <v>102</v>
      </c>
      <c r="B64" s="387" t="s">
        <v>123</v>
      </c>
      <c r="C64" s="387"/>
      <c r="D64" s="181" t="s">
        <v>126</v>
      </c>
      <c r="E64" s="387" t="s">
        <v>124</v>
      </c>
      <c r="F64" s="387"/>
      <c r="G64" s="182" t="s">
        <v>127</v>
      </c>
      <c r="H64" s="175"/>
    </row>
    <row r="65" spans="1:8" ht="20.25" customHeight="1" x14ac:dyDescent="0.25">
      <c r="A65" s="119">
        <v>1</v>
      </c>
      <c r="B65" s="409" t="s">
        <v>109</v>
      </c>
      <c r="C65" s="409"/>
      <c r="D65" s="159" t="s">
        <v>105</v>
      </c>
      <c r="E65" s="410" t="s">
        <v>131</v>
      </c>
      <c r="F65" s="410"/>
      <c r="G65" s="150">
        <f>0</f>
        <v>0</v>
      </c>
      <c r="H65" s="175"/>
    </row>
    <row r="66" spans="1:8" ht="20.25" customHeight="1" x14ac:dyDescent="0.25">
      <c r="A66" s="123">
        <v>2</v>
      </c>
      <c r="B66" s="398" t="s">
        <v>112</v>
      </c>
      <c r="C66" s="398"/>
      <c r="D66" s="163" t="s">
        <v>116</v>
      </c>
      <c r="E66" s="400" t="s">
        <v>141</v>
      </c>
      <c r="F66" s="400"/>
      <c r="G66" s="151">
        <f>21.83+20.99+21.96+24.7+21.49+20.4+22.61</f>
        <v>153.98000000000002</v>
      </c>
      <c r="H66" s="175"/>
    </row>
    <row r="67" spans="1:8" ht="20.25" customHeight="1" x14ac:dyDescent="0.25">
      <c r="A67" s="119">
        <v>3</v>
      </c>
      <c r="B67" s="409" t="s">
        <v>117</v>
      </c>
      <c r="C67" s="409"/>
      <c r="D67" s="159" t="s">
        <v>115</v>
      </c>
      <c r="E67" s="413" t="e">
        <f>#REF!</f>
        <v>#REF!</v>
      </c>
      <c r="F67" s="413"/>
      <c r="G67" s="150" t="e">
        <f>G66*E67</f>
        <v>#REF!</v>
      </c>
      <c r="H67" s="175"/>
    </row>
    <row r="68" spans="1:8" ht="20.25" customHeight="1" x14ac:dyDescent="0.25">
      <c r="A68" s="119">
        <v>4</v>
      </c>
      <c r="B68" s="409" t="s">
        <v>118</v>
      </c>
      <c r="C68" s="409"/>
      <c r="D68" s="159" t="s">
        <v>119</v>
      </c>
      <c r="E68" s="425">
        <f>TRUNC(((G65*0.08)*1.8)/12,0)</f>
        <v>0</v>
      </c>
      <c r="F68" s="425"/>
      <c r="G68" s="150">
        <f>13*E68</f>
        <v>0</v>
      </c>
      <c r="H68" s="175"/>
    </row>
    <row r="69" spans="1:8" ht="20.25" customHeight="1" x14ac:dyDescent="0.25">
      <c r="A69" s="119">
        <v>5</v>
      </c>
      <c r="B69" s="409" t="s">
        <v>121</v>
      </c>
      <c r="C69" s="409"/>
      <c r="D69" s="159" t="s">
        <v>120</v>
      </c>
      <c r="E69" s="411">
        <v>0</v>
      </c>
      <c r="F69" s="411"/>
      <c r="G69" s="150">
        <f>G68*E69</f>
        <v>0</v>
      </c>
      <c r="H69" s="175"/>
    </row>
    <row r="70" spans="1:8" ht="20.25" customHeight="1" thickBot="1" x14ac:dyDescent="0.3">
      <c r="A70" s="120">
        <v>6</v>
      </c>
      <c r="B70" s="412" t="s">
        <v>110</v>
      </c>
      <c r="C70" s="412"/>
      <c r="D70" s="164" t="s">
        <v>105</v>
      </c>
      <c r="E70" s="423" t="s">
        <v>140</v>
      </c>
      <c r="F70" s="424"/>
      <c r="G70" s="152">
        <f>250*7.1</f>
        <v>1775</v>
      </c>
      <c r="H70" s="175"/>
    </row>
    <row r="71" spans="1:8" ht="15.75" thickTop="1" x14ac:dyDescent="0.25">
      <c r="A71" s="129"/>
      <c r="B71" s="110"/>
      <c r="C71" s="110"/>
      <c r="D71" s="110"/>
      <c r="E71" s="107"/>
      <c r="F71" s="110"/>
      <c r="G71" s="110"/>
      <c r="H71" s="176"/>
    </row>
    <row r="72" spans="1:8" ht="15.75" thickBot="1" x14ac:dyDescent="0.3">
      <c r="A72" s="142"/>
      <c r="B72" s="116"/>
      <c r="C72" s="116"/>
      <c r="D72" s="116"/>
      <c r="E72" s="117"/>
      <c r="F72" s="116"/>
      <c r="G72" s="116"/>
      <c r="H72" s="177"/>
    </row>
    <row r="73" spans="1:8" ht="15.75" thickTop="1" x14ac:dyDescent="0.25"/>
  </sheetData>
  <mergeCells count="39">
    <mergeCell ref="A1:H4"/>
    <mergeCell ref="A5:G5"/>
    <mergeCell ref="H39:H40"/>
    <mergeCell ref="G41:G42"/>
    <mergeCell ref="H41:H42"/>
    <mergeCell ref="G7:G14"/>
    <mergeCell ref="G15:G21"/>
    <mergeCell ref="G45:H46"/>
    <mergeCell ref="A62:G63"/>
    <mergeCell ref="B64:C64"/>
    <mergeCell ref="E64:F64"/>
    <mergeCell ref="B65:C65"/>
    <mergeCell ref="E65:F65"/>
    <mergeCell ref="G49:H49"/>
    <mergeCell ref="G51:H51"/>
    <mergeCell ref="A45:F46"/>
    <mergeCell ref="B47:C47"/>
    <mergeCell ref="B48:C48"/>
    <mergeCell ref="B49:C49"/>
    <mergeCell ref="B50:C50"/>
    <mergeCell ref="G48:H48"/>
    <mergeCell ref="G50:H50"/>
    <mergeCell ref="B51:C51"/>
    <mergeCell ref="B70:C70"/>
    <mergeCell ref="E70:F70"/>
    <mergeCell ref="A53:F54"/>
    <mergeCell ref="B55:C55"/>
    <mergeCell ref="B56:C56"/>
    <mergeCell ref="B57:C57"/>
    <mergeCell ref="B58:C58"/>
    <mergeCell ref="B59:C59"/>
    <mergeCell ref="B67:C67"/>
    <mergeCell ref="E67:F67"/>
    <mergeCell ref="B68:C68"/>
    <mergeCell ref="E68:F68"/>
    <mergeCell ref="B69:C69"/>
    <mergeCell ref="E69:F69"/>
    <mergeCell ref="B66:C66"/>
    <mergeCell ref="E66:F66"/>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73"/>
  <sheetViews>
    <sheetView view="pageBreakPreview" topLeftCell="A66"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57" t="s">
        <v>111</v>
      </c>
      <c r="B1" s="358"/>
      <c r="C1" s="358"/>
      <c r="D1" s="358"/>
      <c r="E1" s="358"/>
      <c r="F1" s="358"/>
      <c r="G1" s="358"/>
      <c r="H1" s="359"/>
    </row>
    <row r="2" spans="1:8" x14ac:dyDescent="0.25">
      <c r="A2" s="360"/>
      <c r="B2" s="361"/>
      <c r="C2" s="361"/>
      <c r="D2" s="361"/>
      <c r="E2" s="361"/>
      <c r="F2" s="361"/>
      <c r="G2" s="361"/>
      <c r="H2" s="362"/>
    </row>
    <row r="3" spans="1:8" x14ac:dyDescent="0.25">
      <c r="A3" s="360"/>
      <c r="B3" s="361"/>
      <c r="C3" s="361"/>
      <c r="D3" s="361"/>
      <c r="E3" s="361"/>
      <c r="F3" s="361"/>
      <c r="G3" s="361"/>
      <c r="H3" s="362"/>
    </row>
    <row r="4" spans="1:8" ht="15.75" thickBot="1" x14ac:dyDescent="0.3">
      <c r="A4" s="363"/>
      <c r="B4" s="364"/>
      <c r="C4" s="364"/>
      <c r="D4" s="364"/>
      <c r="E4" s="364"/>
      <c r="F4" s="364"/>
      <c r="G4" s="364"/>
      <c r="H4" s="365"/>
    </row>
    <row r="5" spans="1:8" ht="18.75" customHeight="1" thickTop="1" thickBot="1" x14ac:dyDescent="0.35">
      <c r="A5" s="366">
        <v>43038</v>
      </c>
      <c r="B5" s="367"/>
      <c r="C5" s="367"/>
      <c r="D5" s="367"/>
      <c r="E5" s="367"/>
      <c r="F5" s="367"/>
      <c r="G5" s="368"/>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2</v>
      </c>
      <c r="C7" s="108">
        <v>2</v>
      </c>
      <c r="D7" s="155">
        <f t="shared" ref="D7:D32" si="0">C7*B7</f>
        <v>4</v>
      </c>
      <c r="E7" s="109" t="s">
        <v>139</v>
      </c>
      <c r="F7" s="155" t="s">
        <v>132</v>
      </c>
      <c r="G7" s="369">
        <f>SUM(D7:D32)</f>
        <v>357.54</v>
      </c>
      <c r="H7" s="178"/>
    </row>
    <row r="8" spans="1:8" ht="15" customHeight="1" x14ac:dyDescent="0.25">
      <c r="A8" s="125"/>
      <c r="B8" s="108">
        <v>4</v>
      </c>
      <c r="C8" s="108">
        <v>3.8</v>
      </c>
      <c r="D8" s="155">
        <f t="shared" si="0"/>
        <v>15.2</v>
      </c>
      <c r="E8" s="109" t="s">
        <v>139</v>
      </c>
      <c r="F8" s="155" t="s">
        <v>132</v>
      </c>
      <c r="G8" s="370"/>
      <c r="H8" s="178"/>
    </row>
    <row r="9" spans="1:8" ht="15" customHeight="1" x14ac:dyDescent="0.25">
      <c r="A9" s="125"/>
      <c r="B9" s="108">
        <v>1</v>
      </c>
      <c r="C9" s="108">
        <v>0.8</v>
      </c>
      <c r="D9" s="155">
        <f t="shared" si="0"/>
        <v>0.8</v>
      </c>
      <c r="E9" s="109" t="s">
        <v>139</v>
      </c>
      <c r="F9" s="155" t="s">
        <v>132</v>
      </c>
      <c r="G9" s="370"/>
      <c r="H9" s="178"/>
    </row>
    <row r="10" spans="1:8" ht="15" customHeight="1" x14ac:dyDescent="0.25">
      <c r="A10" s="125"/>
      <c r="B10" s="108">
        <v>2.5</v>
      </c>
      <c r="C10" s="108">
        <v>2</v>
      </c>
      <c r="D10" s="155">
        <f t="shared" si="0"/>
        <v>5</v>
      </c>
      <c r="E10" s="109" t="s">
        <v>139</v>
      </c>
      <c r="F10" s="155" t="s">
        <v>132</v>
      </c>
      <c r="G10" s="370"/>
      <c r="H10" s="178"/>
    </row>
    <row r="11" spans="1:8" ht="15" customHeight="1" x14ac:dyDescent="0.25">
      <c r="A11" s="125"/>
      <c r="B11" s="108">
        <v>4.2</v>
      </c>
      <c r="C11" s="108">
        <v>1.8</v>
      </c>
      <c r="D11" s="155">
        <f t="shared" si="0"/>
        <v>7.5600000000000005</v>
      </c>
      <c r="E11" s="109" t="s">
        <v>139</v>
      </c>
      <c r="F11" s="155" t="s">
        <v>132</v>
      </c>
      <c r="G11" s="370"/>
      <c r="H11" s="178"/>
    </row>
    <row r="12" spans="1:8" ht="15" customHeight="1" x14ac:dyDescent="0.25">
      <c r="A12" s="125"/>
      <c r="B12" s="108">
        <v>3</v>
      </c>
      <c r="C12" s="108">
        <v>7.5</v>
      </c>
      <c r="D12" s="155">
        <f t="shared" si="0"/>
        <v>22.5</v>
      </c>
      <c r="E12" s="109" t="s">
        <v>139</v>
      </c>
      <c r="F12" s="155" t="s">
        <v>132</v>
      </c>
      <c r="G12" s="370"/>
      <c r="H12" s="178"/>
    </row>
    <row r="13" spans="1:8" ht="15" customHeight="1" x14ac:dyDescent="0.25">
      <c r="A13" s="125"/>
      <c r="B13" s="108">
        <v>1.2</v>
      </c>
      <c r="C13" s="108">
        <v>4</v>
      </c>
      <c r="D13" s="155">
        <f t="shared" si="0"/>
        <v>4.8</v>
      </c>
      <c r="E13" s="109" t="s">
        <v>139</v>
      </c>
      <c r="F13" s="155" t="s">
        <v>132</v>
      </c>
      <c r="G13" s="370"/>
      <c r="H13" s="126"/>
    </row>
    <row r="14" spans="1:8" ht="15" customHeight="1" x14ac:dyDescent="0.25">
      <c r="A14" s="125"/>
      <c r="B14" s="108">
        <v>6</v>
      </c>
      <c r="C14" s="108">
        <v>2.2000000000000002</v>
      </c>
      <c r="D14" s="155">
        <f t="shared" si="0"/>
        <v>13.200000000000001</v>
      </c>
      <c r="E14" s="109" t="s">
        <v>139</v>
      </c>
      <c r="F14" s="155" t="s">
        <v>132</v>
      </c>
      <c r="G14" s="370"/>
      <c r="H14" s="126"/>
    </row>
    <row r="15" spans="1:8" ht="15" customHeight="1" x14ac:dyDescent="0.25">
      <c r="A15" s="125"/>
      <c r="B15" s="108">
        <v>1.6</v>
      </c>
      <c r="C15" s="108">
        <v>5</v>
      </c>
      <c r="D15" s="155">
        <f t="shared" si="0"/>
        <v>8</v>
      </c>
      <c r="E15" s="109" t="s">
        <v>139</v>
      </c>
      <c r="F15" s="155" t="s">
        <v>132</v>
      </c>
      <c r="G15" s="370"/>
      <c r="H15" s="126"/>
    </row>
    <row r="16" spans="1:8" ht="15" customHeight="1" x14ac:dyDescent="0.25">
      <c r="A16" s="125"/>
      <c r="B16" s="108">
        <v>3</v>
      </c>
      <c r="C16" s="108">
        <v>3.1</v>
      </c>
      <c r="D16" s="155">
        <f t="shared" si="0"/>
        <v>9.3000000000000007</v>
      </c>
      <c r="E16" s="109" t="s">
        <v>139</v>
      </c>
      <c r="F16" s="155" t="s">
        <v>132</v>
      </c>
      <c r="G16" s="370"/>
      <c r="H16" s="126"/>
    </row>
    <row r="17" spans="1:8" ht="15" customHeight="1" x14ac:dyDescent="0.25">
      <c r="A17" s="125"/>
      <c r="B17" s="108">
        <v>6</v>
      </c>
      <c r="C17" s="108">
        <v>1.6</v>
      </c>
      <c r="D17" s="155">
        <f t="shared" si="0"/>
        <v>9.6000000000000014</v>
      </c>
      <c r="E17" s="109" t="s">
        <v>139</v>
      </c>
      <c r="F17" s="155" t="s">
        <v>132</v>
      </c>
      <c r="G17" s="370"/>
      <c r="H17" s="126"/>
    </row>
    <row r="18" spans="1:8" ht="15" customHeight="1" x14ac:dyDescent="0.25">
      <c r="A18" s="125"/>
      <c r="B18" s="108">
        <v>3.5</v>
      </c>
      <c r="C18" s="108">
        <v>2</v>
      </c>
      <c r="D18" s="155">
        <f t="shared" si="0"/>
        <v>7</v>
      </c>
      <c r="E18" s="109" t="s">
        <v>139</v>
      </c>
      <c r="F18" s="155" t="s">
        <v>132</v>
      </c>
      <c r="G18" s="370"/>
      <c r="H18" s="126"/>
    </row>
    <row r="19" spans="1:8" ht="15" customHeight="1" x14ac:dyDescent="0.25">
      <c r="A19" s="125"/>
      <c r="B19" s="108">
        <v>1.7</v>
      </c>
      <c r="C19" s="108">
        <v>14</v>
      </c>
      <c r="D19" s="155">
        <f t="shared" si="0"/>
        <v>23.8</v>
      </c>
      <c r="E19" s="109" t="s">
        <v>139</v>
      </c>
      <c r="F19" s="155" t="s">
        <v>132</v>
      </c>
      <c r="G19" s="370"/>
      <c r="H19" s="126"/>
    </row>
    <row r="20" spans="1:8" ht="15" customHeight="1" x14ac:dyDescent="0.25">
      <c r="A20" s="125"/>
      <c r="B20" s="108">
        <v>1.4</v>
      </c>
      <c r="C20" s="108">
        <v>3.2</v>
      </c>
      <c r="D20" s="155">
        <f t="shared" si="0"/>
        <v>4.4799999999999995</v>
      </c>
      <c r="E20" s="109" t="s">
        <v>139</v>
      </c>
      <c r="F20" s="155" t="s">
        <v>132</v>
      </c>
      <c r="G20" s="370"/>
      <c r="H20" s="126"/>
    </row>
    <row r="21" spans="1:8" ht="15" customHeight="1" x14ac:dyDescent="0.25">
      <c r="A21" s="125"/>
      <c r="B21" s="108">
        <v>1.7</v>
      </c>
      <c r="C21" s="108">
        <v>11</v>
      </c>
      <c r="D21" s="155">
        <f t="shared" si="0"/>
        <v>18.7</v>
      </c>
      <c r="E21" s="109" t="s">
        <v>139</v>
      </c>
      <c r="F21" s="155" t="s">
        <v>132</v>
      </c>
      <c r="G21" s="370"/>
      <c r="H21" s="126"/>
    </row>
    <row r="22" spans="1:8" ht="15" customHeight="1" x14ac:dyDescent="0.25">
      <c r="A22" s="125"/>
      <c r="B22" s="108">
        <v>11</v>
      </c>
      <c r="C22" s="108">
        <v>2</v>
      </c>
      <c r="D22" s="155">
        <f t="shared" si="0"/>
        <v>22</v>
      </c>
      <c r="E22" s="109" t="s">
        <v>139</v>
      </c>
      <c r="F22" s="155" t="s">
        <v>132</v>
      </c>
      <c r="G22" s="370"/>
      <c r="H22" s="126"/>
    </row>
    <row r="23" spans="1:8" ht="15" customHeight="1" x14ac:dyDescent="0.25">
      <c r="A23" s="125"/>
      <c r="B23" s="108">
        <v>7</v>
      </c>
      <c r="C23" s="108">
        <v>2</v>
      </c>
      <c r="D23" s="155">
        <f t="shared" si="0"/>
        <v>14</v>
      </c>
      <c r="E23" s="109" t="s">
        <v>139</v>
      </c>
      <c r="F23" s="155" t="s">
        <v>132</v>
      </c>
      <c r="G23" s="370"/>
      <c r="H23" s="126"/>
    </row>
    <row r="24" spans="1:8" ht="15" customHeight="1" x14ac:dyDescent="0.25">
      <c r="A24" s="125"/>
      <c r="B24" s="108">
        <v>7</v>
      </c>
      <c r="C24" s="108">
        <v>2</v>
      </c>
      <c r="D24" s="155">
        <f t="shared" si="0"/>
        <v>14</v>
      </c>
      <c r="E24" s="109" t="s">
        <v>139</v>
      </c>
      <c r="F24" s="155" t="s">
        <v>132</v>
      </c>
      <c r="G24" s="370"/>
      <c r="H24" s="126"/>
    </row>
    <row r="25" spans="1:8" ht="15" customHeight="1" x14ac:dyDescent="0.25">
      <c r="A25" s="125"/>
      <c r="B25" s="108">
        <v>2</v>
      </c>
      <c r="C25" s="108">
        <v>2.5</v>
      </c>
      <c r="D25" s="155">
        <f t="shared" si="0"/>
        <v>5</v>
      </c>
      <c r="E25" s="109" t="s">
        <v>139</v>
      </c>
      <c r="F25" s="155" t="s">
        <v>132</v>
      </c>
      <c r="G25" s="370"/>
      <c r="H25" s="126"/>
    </row>
    <row r="26" spans="1:8" ht="15" customHeight="1" x14ac:dyDescent="0.25">
      <c r="A26" s="125"/>
      <c r="B26" s="108">
        <v>11</v>
      </c>
      <c r="C26" s="108">
        <v>3</v>
      </c>
      <c r="D26" s="155">
        <f t="shared" si="0"/>
        <v>33</v>
      </c>
      <c r="E26" s="109" t="s">
        <v>139</v>
      </c>
      <c r="F26" s="155" t="s">
        <v>132</v>
      </c>
      <c r="G26" s="370"/>
      <c r="H26" s="126"/>
    </row>
    <row r="27" spans="1:8" ht="15" customHeight="1" x14ac:dyDescent="0.25">
      <c r="A27" s="125"/>
      <c r="B27" s="108">
        <v>2</v>
      </c>
      <c r="C27" s="108">
        <v>5</v>
      </c>
      <c r="D27" s="155">
        <f t="shared" si="0"/>
        <v>10</v>
      </c>
      <c r="E27" s="109" t="s">
        <v>139</v>
      </c>
      <c r="F27" s="155" t="s">
        <v>132</v>
      </c>
      <c r="G27" s="370"/>
      <c r="H27" s="126"/>
    </row>
    <row r="28" spans="1:8" ht="15" customHeight="1" x14ac:dyDescent="0.25">
      <c r="A28" s="125"/>
      <c r="B28" s="108">
        <v>2</v>
      </c>
      <c r="C28" s="108">
        <v>6</v>
      </c>
      <c r="D28" s="155">
        <f t="shared" si="0"/>
        <v>12</v>
      </c>
      <c r="E28" s="109" t="s">
        <v>139</v>
      </c>
      <c r="F28" s="155" t="s">
        <v>132</v>
      </c>
      <c r="G28" s="370"/>
      <c r="H28" s="126"/>
    </row>
    <row r="29" spans="1:8" ht="15" customHeight="1" x14ac:dyDescent="0.25">
      <c r="A29" s="125"/>
      <c r="B29" s="108">
        <v>3.5</v>
      </c>
      <c r="C29" s="108">
        <v>10</v>
      </c>
      <c r="D29" s="155">
        <f t="shared" si="0"/>
        <v>35</v>
      </c>
      <c r="E29" s="109" t="s">
        <v>139</v>
      </c>
      <c r="F29" s="155" t="s">
        <v>132</v>
      </c>
      <c r="G29" s="370"/>
      <c r="H29" s="126"/>
    </row>
    <row r="30" spans="1:8" ht="15" customHeight="1" x14ac:dyDescent="0.25">
      <c r="A30" s="125"/>
      <c r="B30" s="108">
        <v>2.2000000000000002</v>
      </c>
      <c r="C30" s="108">
        <v>4</v>
      </c>
      <c r="D30" s="155">
        <f t="shared" si="0"/>
        <v>8.8000000000000007</v>
      </c>
      <c r="E30" s="109" t="s">
        <v>139</v>
      </c>
      <c r="F30" s="155" t="s">
        <v>132</v>
      </c>
      <c r="G30" s="370"/>
      <c r="H30" s="126"/>
    </row>
    <row r="31" spans="1:8" ht="15" customHeight="1" x14ac:dyDescent="0.25">
      <c r="A31" s="125"/>
      <c r="B31" s="108">
        <v>3</v>
      </c>
      <c r="C31" s="108">
        <v>8.5</v>
      </c>
      <c r="D31" s="155">
        <f t="shared" si="0"/>
        <v>25.5</v>
      </c>
      <c r="E31" s="109" t="s">
        <v>139</v>
      </c>
      <c r="F31" s="155" t="s">
        <v>132</v>
      </c>
      <c r="G31" s="370"/>
      <c r="H31" s="126"/>
    </row>
    <row r="32" spans="1:8" ht="15" customHeight="1" x14ac:dyDescent="0.25">
      <c r="A32" s="125"/>
      <c r="B32" s="108">
        <v>0.9</v>
      </c>
      <c r="C32" s="108">
        <v>27</v>
      </c>
      <c r="D32" s="155">
        <f t="shared" si="0"/>
        <v>24.3</v>
      </c>
      <c r="E32" s="109" t="s">
        <v>139</v>
      </c>
      <c r="F32" s="155" t="s">
        <v>132</v>
      </c>
      <c r="G32" s="370"/>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71" t="s">
        <v>128</v>
      </c>
    </row>
    <row r="40" spans="1:8" ht="15" customHeight="1" thickBot="1" x14ac:dyDescent="0.3">
      <c r="A40" s="157"/>
      <c r="B40" s="143"/>
      <c r="C40" s="143"/>
      <c r="D40" s="144"/>
      <c r="E40" s="145"/>
      <c r="F40" s="130"/>
      <c r="G40" s="174"/>
      <c r="H40" s="372"/>
    </row>
    <row r="41" spans="1:8" ht="15" customHeight="1" thickTop="1" x14ac:dyDescent="0.25">
      <c r="A41" s="156"/>
      <c r="B41" s="146"/>
      <c r="C41" s="146"/>
      <c r="D41" s="147"/>
      <c r="E41" s="148"/>
      <c r="F41" s="149"/>
      <c r="G41" s="373">
        <f>SUM(D41:D42)</f>
        <v>0</v>
      </c>
      <c r="H41" s="375">
        <f>SUM(G7:G40)</f>
        <v>357.54</v>
      </c>
    </row>
    <row r="42" spans="1:8" ht="15" customHeight="1" thickBot="1" x14ac:dyDescent="0.3">
      <c r="A42" s="118"/>
      <c r="B42" s="114"/>
      <c r="C42" s="114"/>
      <c r="D42" s="165"/>
      <c r="E42" s="115"/>
      <c r="F42" s="122"/>
      <c r="G42" s="374"/>
      <c r="H42" s="376"/>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77" t="str">
        <f>"QUANTIDADES RUA OPERAÇÃO TAPA BURACO NA "&amp;UPPER(E10)</f>
        <v>QUANTIDADES RUA OPERAÇÃO TAPA BURACO NA AV. MARIA DE PAIVA GARCIA</v>
      </c>
      <c r="B45" s="378"/>
      <c r="C45" s="378"/>
      <c r="D45" s="378"/>
      <c r="E45" s="378"/>
      <c r="F45" s="379"/>
      <c r="G45" s="377" t="s">
        <v>136</v>
      </c>
      <c r="H45" s="379"/>
    </row>
    <row r="46" spans="1:8" ht="15.75" customHeight="1" thickBot="1" x14ac:dyDescent="0.3">
      <c r="A46" s="380"/>
      <c r="B46" s="381"/>
      <c r="C46" s="381"/>
      <c r="D46" s="381"/>
      <c r="E46" s="381"/>
      <c r="F46" s="382"/>
      <c r="G46" s="380"/>
      <c r="H46" s="382"/>
    </row>
    <row r="47" spans="1:8" ht="15" customHeight="1" thickTop="1" x14ac:dyDescent="0.25">
      <c r="A47" s="131" t="s">
        <v>102</v>
      </c>
      <c r="B47" s="383" t="s">
        <v>32</v>
      </c>
      <c r="C47" s="384"/>
      <c r="D47" s="132" t="s">
        <v>35</v>
      </c>
      <c r="E47" s="132" t="s">
        <v>124</v>
      </c>
      <c r="F47" s="133" t="s">
        <v>125</v>
      </c>
      <c r="G47" s="156"/>
      <c r="H47" s="179"/>
    </row>
    <row r="48" spans="1:8" ht="15.75" customHeight="1" x14ac:dyDescent="0.25">
      <c r="A48" s="134">
        <v>1</v>
      </c>
      <c r="B48" s="353" t="s">
        <v>106</v>
      </c>
      <c r="C48" s="354"/>
      <c r="D48" s="160" t="s">
        <v>105</v>
      </c>
      <c r="E48" s="135"/>
      <c r="F48" s="136">
        <f>G7</f>
        <v>357.54</v>
      </c>
      <c r="G48" s="385" t="s">
        <v>112</v>
      </c>
      <c r="H48" s="386"/>
    </row>
    <row r="49" spans="1:8" x14ac:dyDescent="0.25">
      <c r="A49" s="134">
        <v>2</v>
      </c>
      <c r="B49" s="353" t="s">
        <v>112</v>
      </c>
      <c r="C49" s="354"/>
      <c r="D49" s="160" t="s">
        <v>114</v>
      </c>
      <c r="E49" s="137" t="s">
        <v>133</v>
      </c>
      <c r="F49" s="136">
        <f>(21.45)</f>
        <v>21.45</v>
      </c>
      <c r="G49" s="355">
        <f>F49+F57</f>
        <v>21.45</v>
      </c>
      <c r="H49" s="356"/>
    </row>
    <row r="50" spans="1:8" ht="15.75" customHeight="1" x14ac:dyDescent="0.25">
      <c r="A50" s="134">
        <v>3</v>
      </c>
      <c r="B50" s="353" t="s">
        <v>113</v>
      </c>
      <c r="C50" s="354"/>
      <c r="D50" s="160" t="s">
        <v>115</v>
      </c>
      <c r="E50" s="138" t="e">
        <f>#REF!</f>
        <v>#REF!</v>
      </c>
      <c r="F50" s="136" t="e">
        <f>F49*E50</f>
        <v>#REF!</v>
      </c>
      <c r="G50" s="385" t="s">
        <v>137</v>
      </c>
      <c r="H50" s="386"/>
    </row>
    <row r="51" spans="1:8" ht="15" customHeight="1" thickBot="1" x14ac:dyDescent="0.3">
      <c r="A51" s="139">
        <v>4</v>
      </c>
      <c r="B51" s="388" t="s">
        <v>110</v>
      </c>
      <c r="C51" s="389"/>
      <c r="D51" s="161" t="s">
        <v>105</v>
      </c>
      <c r="E51" s="140"/>
      <c r="F51" s="141">
        <f>F48</f>
        <v>357.54</v>
      </c>
      <c r="G51" s="390" t="e">
        <f>F50+F58</f>
        <v>#REF!</v>
      </c>
      <c r="H51" s="391"/>
    </row>
    <row r="52" spans="1:8" ht="15" customHeight="1" thickTop="1" thickBot="1" x14ac:dyDescent="0.3">
      <c r="A52" s="157"/>
      <c r="B52" s="112"/>
      <c r="C52" s="112"/>
      <c r="D52" s="110"/>
      <c r="E52" s="107"/>
      <c r="F52" s="110"/>
      <c r="G52" s="158"/>
      <c r="H52" s="176"/>
    </row>
    <row r="53" spans="1:8" ht="15" customHeight="1" thickTop="1" x14ac:dyDescent="0.25">
      <c r="A53" s="392"/>
      <c r="B53" s="393"/>
      <c r="C53" s="393"/>
      <c r="D53" s="393"/>
      <c r="E53" s="393"/>
      <c r="F53" s="394"/>
      <c r="G53" s="110"/>
      <c r="H53" s="176"/>
    </row>
    <row r="54" spans="1:8" ht="15.75" customHeight="1" thickBot="1" x14ac:dyDescent="0.3">
      <c r="A54" s="395"/>
      <c r="B54" s="396"/>
      <c r="C54" s="396"/>
      <c r="D54" s="396"/>
      <c r="E54" s="396"/>
      <c r="F54" s="397"/>
      <c r="G54" s="110"/>
      <c r="H54" s="176"/>
    </row>
    <row r="55" spans="1:8" ht="15" customHeight="1" thickTop="1" x14ac:dyDescent="0.25">
      <c r="A55" s="131" t="s">
        <v>102</v>
      </c>
      <c r="B55" s="383" t="s">
        <v>32</v>
      </c>
      <c r="C55" s="384"/>
      <c r="D55" s="132" t="s">
        <v>35</v>
      </c>
      <c r="E55" s="132" t="s">
        <v>124</v>
      </c>
      <c r="F55" s="133" t="s">
        <v>125</v>
      </c>
      <c r="G55" s="158"/>
      <c r="H55" s="175"/>
    </row>
    <row r="56" spans="1:8" ht="15.75" customHeight="1" x14ac:dyDescent="0.25">
      <c r="A56" s="134">
        <v>1</v>
      </c>
      <c r="B56" s="353" t="s">
        <v>106</v>
      </c>
      <c r="C56" s="354"/>
      <c r="D56" s="160" t="s">
        <v>105</v>
      </c>
      <c r="E56" s="135"/>
      <c r="F56" s="136">
        <f>G15</f>
        <v>0</v>
      </c>
      <c r="G56" s="158"/>
      <c r="H56" s="175"/>
    </row>
    <row r="57" spans="1:8" x14ac:dyDescent="0.25">
      <c r="A57" s="134">
        <v>2</v>
      </c>
      <c r="B57" s="353" t="s">
        <v>112</v>
      </c>
      <c r="C57" s="354"/>
      <c r="D57" s="160" t="s">
        <v>114</v>
      </c>
      <c r="E57" s="137"/>
      <c r="F57" s="136"/>
      <c r="G57" s="158"/>
      <c r="H57" s="175"/>
    </row>
    <row r="58" spans="1:8" ht="15.75" customHeight="1" x14ac:dyDescent="0.25">
      <c r="A58" s="134">
        <v>3</v>
      </c>
      <c r="B58" s="353" t="s">
        <v>113</v>
      </c>
      <c r="C58" s="354"/>
      <c r="D58" s="160" t="s">
        <v>115</v>
      </c>
      <c r="E58" s="138"/>
      <c r="F58" s="136">
        <f>F57*E58</f>
        <v>0</v>
      </c>
      <c r="G58" s="158"/>
      <c r="H58" s="176"/>
    </row>
    <row r="59" spans="1:8" ht="15" customHeight="1" thickBot="1" x14ac:dyDescent="0.3">
      <c r="A59" s="139">
        <v>4</v>
      </c>
      <c r="B59" s="388" t="s">
        <v>110</v>
      </c>
      <c r="C59" s="389"/>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92" t="s">
        <v>146</v>
      </c>
      <c r="B62" s="393"/>
      <c r="C62" s="393"/>
      <c r="D62" s="393"/>
      <c r="E62" s="393"/>
      <c r="F62" s="393"/>
      <c r="G62" s="394"/>
      <c r="H62" s="175"/>
    </row>
    <row r="63" spans="1:8" ht="15.75" thickBot="1" x14ac:dyDescent="0.3">
      <c r="A63" s="395"/>
      <c r="B63" s="396"/>
      <c r="C63" s="396"/>
      <c r="D63" s="396"/>
      <c r="E63" s="396"/>
      <c r="F63" s="396"/>
      <c r="G63" s="397"/>
      <c r="H63" s="175"/>
    </row>
    <row r="64" spans="1:8" ht="20.25" customHeight="1" thickTop="1" x14ac:dyDescent="0.25">
      <c r="A64" s="180" t="s">
        <v>102</v>
      </c>
      <c r="B64" s="387" t="s">
        <v>123</v>
      </c>
      <c r="C64" s="387"/>
      <c r="D64" s="181" t="s">
        <v>126</v>
      </c>
      <c r="E64" s="387" t="s">
        <v>124</v>
      </c>
      <c r="F64" s="387"/>
      <c r="G64" s="182" t="s">
        <v>127</v>
      </c>
      <c r="H64" s="175"/>
    </row>
    <row r="65" spans="1:9" ht="20.25" customHeight="1" x14ac:dyDescent="0.25">
      <c r="A65" s="119">
        <v>1</v>
      </c>
      <c r="B65" s="409" t="s">
        <v>109</v>
      </c>
      <c r="C65" s="409"/>
      <c r="D65" s="159" t="s">
        <v>105</v>
      </c>
      <c r="E65" s="410" t="s">
        <v>147</v>
      </c>
      <c r="F65" s="410"/>
      <c r="G65" s="150">
        <f>108*11.3+240*5</f>
        <v>2420.4</v>
      </c>
      <c r="H65" s="175"/>
    </row>
    <row r="66" spans="1:9" ht="20.25" customHeight="1" x14ac:dyDescent="0.25">
      <c r="A66" s="123">
        <v>2</v>
      </c>
      <c r="B66" s="398" t="s">
        <v>112</v>
      </c>
      <c r="C66" s="398"/>
      <c r="D66" s="163" t="s">
        <v>116</v>
      </c>
      <c r="E66" s="400" t="s">
        <v>144</v>
      </c>
      <c r="F66" s="400"/>
      <c r="G66" s="151">
        <f>22.91+22.06+22.09+23.55+21.88+22.15+25.74+23.14</f>
        <v>183.51999999999998</v>
      </c>
      <c r="H66" s="175"/>
    </row>
    <row r="67" spans="1:9" ht="20.25" customHeight="1" x14ac:dyDescent="0.25">
      <c r="A67" s="119">
        <v>3</v>
      </c>
      <c r="B67" s="409" t="s">
        <v>117</v>
      </c>
      <c r="C67" s="409"/>
      <c r="D67" s="159" t="s">
        <v>115</v>
      </c>
      <c r="E67" s="413" t="e">
        <f>#REF!</f>
        <v>#REF!</v>
      </c>
      <c r="F67" s="413"/>
      <c r="G67" s="150" t="e">
        <f>G66*E67</f>
        <v>#REF!</v>
      </c>
      <c r="H67" s="175"/>
    </row>
    <row r="68" spans="1:9" ht="20.25" customHeight="1" x14ac:dyDescent="0.25">
      <c r="A68" s="119">
        <v>4</v>
      </c>
      <c r="B68" s="409" t="s">
        <v>118</v>
      </c>
      <c r="C68" s="409"/>
      <c r="D68" s="159" t="s">
        <v>119</v>
      </c>
      <c r="E68" s="425">
        <f>TRUNC(((G65*0.08)*1.8)/12,0)</f>
        <v>29</v>
      </c>
      <c r="F68" s="425"/>
      <c r="G68" s="150">
        <f>13*E68</f>
        <v>377</v>
      </c>
      <c r="H68" s="175"/>
    </row>
    <row r="69" spans="1:9" ht="20.25" customHeight="1" x14ac:dyDescent="0.25">
      <c r="A69" s="119">
        <v>5</v>
      </c>
      <c r="B69" s="409" t="s">
        <v>121</v>
      </c>
      <c r="C69" s="409"/>
      <c r="D69" s="159" t="s">
        <v>120</v>
      </c>
      <c r="E69" s="411" t="e">
        <f>#REF!</f>
        <v>#REF!</v>
      </c>
      <c r="F69" s="411"/>
      <c r="G69" s="150" t="e">
        <f>G68*E69</f>
        <v>#REF!</v>
      </c>
      <c r="H69" s="175"/>
    </row>
    <row r="70" spans="1:9" ht="20.25" customHeight="1" thickBot="1" x14ac:dyDescent="0.3">
      <c r="A70" s="120">
        <v>6</v>
      </c>
      <c r="B70" s="412" t="s">
        <v>110</v>
      </c>
      <c r="C70" s="412"/>
      <c r="D70" s="164" t="s">
        <v>105</v>
      </c>
      <c r="E70" s="423" t="s">
        <v>147</v>
      </c>
      <c r="F70" s="424"/>
      <c r="G70" s="152">
        <f>108*11.3+240*5</f>
        <v>2420.4</v>
      </c>
      <c r="H70" s="175"/>
      <c r="I70">
        <f>G66/2.5</f>
        <v>73.407999999999987</v>
      </c>
    </row>
    <row r="71" spans="1:9" ht="15.75" thickTop="1" x14ac:dyDescent="0.25">
      <c r="A71" s="129"/>
      <c r="B71" s="110"/>
      <c r="C71" s="110"/>
      <c r="D71" s="110"/>
      <c r="E71" s="107"/>
      <c r="F71" s="110"/>
      <c r="G71" s="110"/>
      <c r="H71" s="176"/>
      <c r="I71">
        <f>I70/0.03</f>
        <v>2446.9333333333329</v>
      </c>
    </row>
    <row r="72" spans="1:9" ht="15.75" thickBot="1" x14ac:dyDescent="0.3">
      <c r="A72" s="142"/>
      <c r="B72" s="116"/>
      <c r="C72" s="116"/>
      <c r="D72" s="116"/>
      <c r="E72" s="117"/>
      <c r="F72" s="116"/>
      <c r="G72" s="116"/>
      <c r="H72" s="177"/>
    </row>
    <row r="73" spans="1:9" ht="15.75" thickTop="1" x14ac:dyDescent="0.25"/>
  </sheetData>
  <mergeCells count="38">
    <mergeCell ref="B49:C49"/>
    <mergeCell ref="G49:H49"/>
    <mergeCell ref="A1:H4"/>
    <mergeCell ref="A5:G5"/>
    <mergeCell ref="H39:H40"/>
    <mergeCell ref="G41:G42"/>
    <mergeCell ref="H41:H42"/>
    <mergeCell ref="G7:G3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3"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57" t="s">
        <v>111</v>
      </c>
      <c r="B1" s="358"/>
      <c r="C1" s="358"/>
      <c r="D1" s="358"/>
      <c r="E1" s="358"/>
      <c r="F1" s="358"/>
      <c r="G1" s="358"/>
      <c r="H1" s="359"/>
    </row>
    <row r="2" spans="1:8" x14ac:dyDescent="0.25">
      <c r="A2" s="360"/>
      <c r="B2" s="361"/>
      <c r="C2" s="361"/>
      <c r="D2" s="361"/>
      <c r="E2" s="361"/>
      <c r="F2" s="361"/>
      <c r="G2" s="361"/>
      <c r="H2" s="362"/>
    </row>
    <row r="3" spans="1:8" x14ac:dyDescent="0.25">
      <c r="A3" s="360"/>
      <c r="B3" s="361"/>
      <c r="C3" s="361"/>
      <c r="D3" s="361"/>
      <c r="E3" s="361"/>
      <c r="F3" s="361"/>
      <c r="G3" s="361"/>
      <c r="H3" s="362"/>
    </row>
    <row r="4" spans="1:8" ht="15.75" thickBot="1" x14ac:dyDescent="0.3">
      <c r="A4" s="363"/>
      <c r="B4" s="364"/>
      <c r="C4" s="364"/>
      <c r="D4" s="364"/>
      <c r="E4" s="364"/>
      <c r="F4" s="364"/>
      <c r="G4" s="364"/>
      <c r="H4" s="365"/>
    </row>
    <row r="5" spans="1:8" ht="18.75" customHeight="1" thickTop="1" thickBot="1" x14ac:dyDescent="0.35">
      <c r="A5" s="366">
        <v>43039</v>
      </c>
      <c r="B5" s="367"/>
      <c r="C5" s="367"/>
      <c r="D5" s="367"/>
      <c r="E5" s="367"/>
      <c r="F5" s="367"/>
      <c r="G5" s="368"/>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4</v>
      </c>
      <c r="C7" s="108">
        <v>7</v>
      </c>
      <c r="D7" s="155">
        <f t="shared" ref="D7:D32" si="0">C7*B7</f>
        <v>28</v>
      </c>
      <c r="E7" s="109" t="s">
        <v>139</v>
      </c>
      <c r="F7" s="155" t="s">
        <v>132</v>
      </c>
      <c r="G7" s="369">
        <f>SUM(D7:D32)</f>
        <v>340.95000000000005</v>
      </c>
      <c r="H7" s="178"/>
    </row>
    <row r="8" spans="1:8" ht="15" customHeight="1" x14ac:dyDescent="0.25">
      <c r="A8" s="125"/>
      <c r="B8" s="108">
        <v>1.4</v>
      </c>
      <c r="C8" s="108">
        <v>7.2</v>
      </c>
      <c r="D8" s="155">
        <f t="shared" si="0"/>
        <v>10.08</v>
      </c>
      <c r="E8" s="109" t="s">
        <v>139</v>
      </c>
      <c r="F8" s="155" t="s">
        <v>132</v>
      </c>
      <c r="G8" s="370"/>
      <c r="H8" s="178"/>
    </row>
    <row r="9" spans="1:8" ht="15" customHeight="1" x14ac:dyDescent="0.25">
      <c r="A9" s="125"/>
      <c r="B9" s="108">
        <v>1.7</v>
      </c>
      <c r="C9" s="108">
        <v>4</v>
      </c>
      <c r="D9" s="155">
        <f t="shared" si="0"/>
        <v>6.8</v>
      </c>
      <c r="E9" s="109" t="s">
        <v>139</v>
      </c>
      <c r="F9" s="155" t="s">
        <v>132</v>
      </c>
      <c r="G9" s="370"/>
      <c r="H9" s="178"/>
    </row>
    <row r="10" spans="1:8" ht="15" customHeight="1" x14ac:dyDescent="0.25">
      <c r="A10" s="125"/>
      <c r="B10" s="108">
        <v>2</v>
      </c>
      <c r="C10" s="108">
        <v>4.0999999999999996</v>
      </c>
      <c r="D10" s="155">
        <f t="shared" si="0"/>
        <v>8.1999999999999993</v>
      </c>
      <c r="E10" s="109" t="s">
        <v>139</v>
      </c>
      <c r="F10" s="155" t="s">
        <v>132</v>
      </c>
      <c r="G10" s="370"/>
      <c r="H10" s="178"/>
    </row>
    <row r="11" spans="1:8" ht="15" customHeight="1" x14ac:dyDescent="0.25">
      <c r="A11" s="125"/>
      <c r="B11" s="108">
        <v>1.3</v>
      </c>
      <c r="C11" s="108">
        <v>3</v>
      </c>
      <c r="D11" s="155">
        <f t="shared" si="0"/>
        <v>3.9000000000000004</v>
      </c>
      <c r="E11" s="109" t="s">
        <v>139</v>
      </c>
      <c r="F11" s="155" t="s">
        <v>132</v>
      </c>
      <c r="G11" s="370"/>
      <c r="H11" s="178"/>
    </row>
    <row r="12" spans="1:8" ht="15" customHeight="1" x14ac:dyDescent="0.25">
      <c r="A12" s="125"/>
      <c r="B12" s="108">
        <v>14</v>
      </c>
      <c r="C12" s="108">
        <v>3.2</v>
      </c>
      <c r="D12" s="155">
        <f t="shared" si="0"/>
        <v>44.800000000000004</v>
      </c>
      <c r="E12" s="109" t="s">
        <v>139</v>
      </c>
      <c r="F12" s="155" t="s">
        <v>132</v>
      </c>
      <c r="G12" s="370"/>
      <c r="H12" s="178"/>
    </row>
    <row r="13" spans="1:8" ht="15" customHeight="1" x14ac:dyDescent="0.25">
      <c r="A13" s="125"/>
      <c r="B13" s="108">
        <v>3.2</v>
      </c>
      <c r="C13" s="108">
        <v>16</v>
      </c>
      <c r="D13" s="155">
        <f t="shared" si="0"/>
        <v>51.2</v>
      </c>
      <c r="E13" s="109" t="s">
        <v>139</v>
      </c>
      <c r="F13" s="155" t="s">
        <v>132</v>
      </c>
      <c r="G13" s="370"/>
      <c r="H13" s="126"/>
    </row>
    <row r="14" spans="1:8" ht="15" customHeight="1" x14ac:dyDescent="0.25">
      <c r="A14" s="125"/>
      <c r="B14" s="108">
        <v>1.6</v>
      </c>
      <c r="C14" s="108">
        <v>9</v>
      </c>
      <c r="D14" s="155">
        <f t="shared" si="0"/>
        <v>14.4</v>
      </c>
      <c r="E14" s="109" t="s">
        <v>139</v>
      </c>
      <c r="F14" s="155" t="s">
        <v>132</v>
      </c>
      <c r="G14" s="370"/>
      <c r="H14" s="126"/>
    </row>
    <row r="15" spans="1:8" ht="15" customHeight="1" x14ac:dyDescent="0.25">
      <c r="A15" s="125"/>
      <c r="B15" s="108">
        <v>0.9</v>
      </c>
      <c r="C15" s="108">
        <v>1.1000000000000001</v>
      </c>
      <c r="D15" s="155">
        <f t="shared" si="0"/>
        <v>0.9900000000000001</v>
      </c>
      <c r="E15" s="109" t="s">
        <v>139</v>
      </c>
      <c r="F15" s="155" t="s">
        <v>132</v>
      </c>
      <c r="G15" s="370"/>
      <c r="H15" s="126"/>
    </row>
    <row r="16" spans="1:8" ht="15" customHeight="1" x14ac:dyDescent="0.25">
      <c r="A16" s="125"/>
      <c r="B16" s="108">
        <v>3.4</v>
      </c>
      <c r="C16" s="108">
        <v>8</v>
      </c>
      <c r="D16" s="155">
        <f t="shared" si="0"/>
        <v>27.2</v>
      </c>
      <c r="E16" s="109" t="s">
        <v>139</v>
      </c>
      <c r="F16" s="155" t="s">
        <v>132</v>
      </c>
      <c r="G16" s="370"/>
      <c r="H16" s="126"/>
    </row>
    <row r="17" spans="1:8" ht="15" customHeight="1" x14ac:dyDescent="0.25">
      <c r="A17" s="125"/>
      <c r="B17" s="108">
        <v>0.8</v>
      </c>
      <c r="C17" s="108">
        <v>1</v>
      </c>
      <c r="D17" s="155">
        <f t="shared" si="0"/>
        <v>0.8</v>
      </c>
      <c r="E17" s="109" t="s">
        <v>139</v>
      </c>
      <c r="F17" s="155" t="s">
        <v>132</v>
      </c>
      <c r="G17" s="370"/>
      <c r="H17" s="126"/>
    </row>
    <row r="18" spans="1:8" ht="15" customHeight="1" x14ac:dyDescent="0.25">
      <c r="A18" s="125"/>
      <c r="B18" s="108">
        <v>4</v>
      </c>
      <c r="C18" s="108">
        <v>7.8</v>
      </c>
      <c r="D18" s="155">
        <f t="shared" si="0"/>
        <v>31.2</v>
      </c>
      <c r="E18" s="109" t="s">
        <v>139</v>
      </c>
      <c r="F18" s="155" t="s">
        <v>132</v>
      </c>
      <c r="G18" s="370"/>
      <c r="H18" s="126"/>
    </row>
    <row r="19" spans="1:8" ht="15" customHeight="1" x14ac:dyDescent="0.25">
      <c r="A19" s="125"/>
      <c r="B19" s="108">
        <v>2.2000000000000002</v>
      </c>
      <c r="C19" s="108">
        <v>5.4</v>
      </c>
      <c r="D19" s="155">
        <f t="shared" si="0"/>
        <v>11.880000000000003</v>
      </c>
      <c r="E19" s="109" t="s">
        <v>139</v>
      </c>
      <c r="F19" s="155" t="s">
        <v>132</v>
      </c>
      <c r="G19" s="370"/>
      <c r="H19" s="126"/>
    </row>
    <row r="20" spans="1:8" ht="15" customHeight="1" x14ac:dyDescent="0.25">
      <c r="A20" s="125"/>
      <c r="B20" s="108">
        <v>1</v>
      </c>
      <c r="C20" s="108">
        <v>2</v>
      </c>
      <c r="D20" s="155">
        <f t="shared" si="0"/>
        <v>2</v>
      </c>
      <c r="E20" s="109" t="s">
        <v>139</v>
      </c>
      <c r="F20" s="155" t="s">
        <v>132</v>
      </c>
      <c r="G20" s="370"/>
      <c r="H20" s="126"/>
    </row>
    <row r="21" spans="1:8" ht="15" customHeight="1" x14ac:dyDescent="0.25">
      <c r="A21" s="125"/>
      <c r="B21" s="108">
        <v>1.3</v>
      </c>
      <c r="C21" s="108">
        <v>5</v>
      </c>
      <c r="D21" s="155">
        <f t="shared" si="0"/>
        <v>6.5</v>
      </c>
      <c r="E21" s="109" t="s">
        <v>139</v>
      </c>
      <c r="F21" s="155" t="s">
        <v>132</v>
      </c>
      <c r="G21" s="370"/>
      <c r="H21" s="126"/>
    </row>
    <row r="22" spans="1:8" ht="15" customHeight="1" x14ac:dyDescent="0.25">
      <c r="A22" s="125"/>
      <c r="B22" s="108">
        <v>1</v>
      </c>
      <c r="C22" s="108">
        <v>3</v>
      </c>
      <c r="D22" s="155">
        <f t="shared" si="0"/>
        <v>3</v>
      </c>
      <c r="E22" s="109" t="s">
        <v>139</v>
      </c>
      <c r="F22" s="155" t="s">
        <v>132</v>
      </c>
      <c r="G22" s="370"/>
      <c r="H22" s="126"/>
    </row>
    <row r="23" spans="1:8" ht="15" customHeight="1" x14ac:dyDescent="0.25">
      <c r="A23" s="125"/>
      <c r="B23" s="108">
        <v>12</v>
      </c>
      <c r="C23" s="108">
        <v>2</v>
      </c>
      <c r="D23" s="155">
        <f t="shared" si="0"/>
        <v>24</v>
      </c>
      <c r="E23" s="109" t="s">
        <v>139</v>
      </c>
      <c r="F23" s="155" t="s">
        <v>132</v>
      </c>
      <c r="G23" s="370"/>
      <c r="H23" s="126"/>
    </row>
    <row r="24" spans="1:8" ht="15" customHeight="1" x14ac:dyDescent="0.25">
      <c r="A24" s="125"/>
      <c r="B24" s="108">
        <v>1</v>
      </c>
      <c r="C24" s="108">
        <v>4.2</v>
      </c>
      <c r="D24" s="155">
        <f t="shared" si="0"/>
        <v>4.2</v>
      </c>
      <c r="E24" s="109" t="s">
        <v>139</v>
      </c>
      <c r="F24" s="155" t="s">
        <v>132</v>
      </c>
      <c r="G24" s="370"/>
      <c r="H24" s="126"/>
    </row>
    <row r="25" spans="1:8" ht="15" customHeight="1" x14ac:dyDescent="0.25">
      <c r="A25" s="125"/>
      <c r="B25" s="108">
        <v>21</v>
      </c>
      <c r="C25" s="108">
        <v>1.8</v>
      </c>
      <c r="D25" s="155">
        <f t="shared" si="0"/>
        <v>37.800000000000004</v>
      </c>
      <c r="E25" s="109" t="s">
        <v>139</v>
      </c>
      <c r="F25" s="155" t="s">
        <v>132</v>
      </c>
      <c r="G25" s="370"/>
      <c r="H25" s="126"/>
    </row>
    <row r="26" spans="1:8" ht="15" customHeight="1" x14ac:dyDescent="0.25">
      <c r="A26" s="125"/>
      <c r="B26" s="108">
        <v>3</v>
      </c>
      <c r="C26" s="108">
        <v>8</v>
      </c>
      <c r="D26" s="155">
        <f t="shared" si="0"/>
        <v>24</v>
      </c>
      <c r="E26" s="109" t="s">
        <v>139</v>
      </c>
      <c r="F26" s="155" t="s">
        <v>132</v>
      </c>
      <c r="G26" s="370"/>
      <c r="H26" s="126"/>
    </row>
    <row r="27" spans="1:8" ht="15" customHeight="1" x14ac:dyDescent="0.25">
      <c r="A27" s="125"/>
      <c r="B27" s="108"/>
      <c r="C27" s="108"/>
      <c r="D27" s="155">
        <f t="shared" si="0"/>
        <v>0</v>
      </c>
      <c r="E27" s="109" t="s">
        <v>139</v>
      </c>
      <c r="F27" s="155" t="s">
        <v>132</v>
      </c>
      <c r="G27" s="370"/>
      <c r="H27" s="126"/>
    </row>
    <row r="28" spans="1:8" ht="15" customHeight="1" x14ac:dyDescent="0.25">
      <c r="A28" s="125"/>
      <c r="B28" s="108"/>
      <c r="C28" s="108"/>
      <c r="D28" s="155">
        <f t="shared" si="0"/>
        <v>0</v>
      </c>
      <c r="E28" s="109" t="s">
        <v>139</v>
      </c>
      <c r="F28" s="155" t="s">
        <v>132</v>
      </c>
      <c r="G28" s="370"/>
      <c r="H28" s="126"/>
    </row>
    <row r="29" spans="1:8" ht="15" customHeight="1" x14ac:dyDescent="0.25">
      <c r="A29" s="125"/>
      <c r="B29" s="108"/>
      <c r="C29" s="108"/>
      <c r="D29" s="155">
        <f t="shared" si="0"/>
        <v>0</v>
      </c>
      <c r="E29" s="109" t="s">
        <v>139</v>
      </c>
      <c r="F29" s="155" t="s">
        <v>132</v>
      </c>
      <c r="G29" s="370"/>
      <c r="H29" s="126"/>
    </row>
    <row r="30" spans="1:8" ht="15" customHeight="1" x14ac:dyDescent="0.25">
      <c r="A30" s="125"/>
      <c r="B30" s="108"/>
      <c r="C30" s="108"/>
      <c r="D30" s="155">
        <f t="shared" si="0"/>
        <v>0</v>
      </c>
      <c r="E30" s="109" t="s">
        <v>139</v>
      </c>
      <c r="F30" s="155" t="s">
        <v>132</v>
      </c>
      <c r="G30" s="370"/>
      <c r="H30" s="126"/>
    </row>
    <row r="31" spans="1:8" ht="15" customHeight="1" x14ac:dyDescent="0.25">
      <c r="A31" s="125"/>
      <c r="B31" s="108"/>
      <c r="C31" s="108"/>
      <c r="D31" s="155">
        <f t="shared" si="0"/>
        <v>0</v>
      </c>
      <c r="E31" s="109" t="s">
        <v>139</v>
      </c>
      <c r="F31" s="155" t="s">
        <v>132</v>
      </c>
      <c r="G31" s="370"/>
      <c r="H31" s="126"/>
    </row>
    <row r="32" spans="1:8" ht="15" customHeight="1" x14ac:dyDescent="0.25">
      <c r="A32" s="125"/>
      <c r="B32" s="108"/>
      <c r="C32" s="108"/>
      <c r="D32" s="155">
        <f t="shared" si="0"/>
        <v>0</v>
      </c>
      <c r="E32" s="109" t="s">
        <v>139</v>
      </c>
      <c r="F32" s="155" t="s">
        <v>132</v>
      </c>
      <c r="G32" s="370"/>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71" t="s">
        <v>128</v>
      </c>
    </row>
    <row r="40" spans="1:8" ht="15" customHeight="1" thickBot="1" x14ac:dyDescent="0.3">
      <c r="A40" s="157"/>
      <c r="B40" s="143"/>
      <c r="C40" s="143"/>
      <c r="D40" s="144"/>
      <c r="E40" s="145"/>
      <c r="F40" s="130"/>
      <c r="G40" s="174"/>
      <c r="H40" s="372"/>
    </row>
    <row r="41" spans="1:8" ht="15" customHeight="1" thickTop="1" x14ac:dyDescent="0.25">
      <c r="A41" s="156"/>
      <c r="B41" s="146"/>
      <c r="C41" s="146"/>
      <c r="D41" s="147"/>
      <c r="E41" s="148"/>
      <c r="F41" s="149"/>
      <c r="G41" s="373">
        <f>SUM(D41:D42)</f>
        <v>0</v>
      </c>
      <c r="H41" s="375">
        <f>SUM(G7:G40)</f>
        <v>340.95000000000005</v>
      </c>
    </row>
    <row r="42" spans="1:8" ht="15" customHeight="1" thickBot="1" x14ac:dyDescent="0.3">
      <c r="A42" s="118"/>
      <c r="B42" s="114"/>
      <c r="C42" s="114"/>
      <c r="D42" s="165"/>
      <c r="E42" s="115"/>
      <c r="F42" s="122"/>
      <c r="G42" s="374"/>
      <c r="H42" s="376"/>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77" t="str">
        <f>"QUANTIDADES RUA OPERAÇÃO TAPA BURACO NA "&amp;UPPER(E10)</f>
        <v>QUANTIDADES RUA OPERAÇÃO TAPA BURACO NA AV. MARIA DE PAIVA GARCIA</v>
      </c>
      <c r="B45" s="378"/>
      <c r="C45" s="378"/>
      <c r="D45" s="378"/>
      <c r="E45" s="378"/>
      <c r="F45" s="379"/>
      <c r="G45" s="377" t="s">
        <v>136</v>
      </c>
      <c r="H45" s="379"/>
    </row>
    <row r="46" spans="1:8" ht="15.75" customHeight="1" thickBot="1" x14ac:dyDescent="0.3">
      <c r="A46" s="380"/>
      <c r="B46" s="381"/>
      <c r="C46" s="381"/>
      <c r="D46" s="381"/>
      <c r="E46" s="381"/>
      <c r="F46" s="382"/>
      <c r="G46" s="380"/>
      <c r="H46" s="382"/>
    </row>
    <row r="47" spans="1:8" ht="15" customHeight="1" thickTop="1" x14ac:dyDescent="0.25">
      <c r="A47" s="131" t="s">
        <v>102</v>
      </c>
      <c r="B47" s="383" t="s">
        <v>32</v>
      </c>
      <c r="C47" s="384"/>
      <c r="D47" s="132" t="s">
        <v>35</v>
      </c>
      <c r="E47" s="132" t="s">
        <v>124</v>
      </c>
      <c r="F47" s="133" t="s">
        <v>125</v>
      </c>
      <c r="G47" s="156"/>
      <c r="H47" s="179"/>
    </row>
    <row r="48" spans="1:8" ht="15.75" customHeight="1" x14ac:dyDescent="0.25">
      <c r="A48" s="134">
        <v>1</v>
      </c>
      <c r="B48" s="353" t="s">
        <v>106</v>
      </c>
      <c r="C48" s="354"/>
      <c r="D48" s="160" t="s">
        <v>105</v>
      </c>
      <c r="E48" s="135"/>
      <c r="F48" s="136">
        <f>G7</f>
        <v>340.95000000000005</v>
      </c>
      <c r="G48" s="385" t="s">
        <v>112</v>
      </c>
      <c r="H48" s="386"/>
    </row>
    <row r="49" spans="1:8" x14ac:dyDescent="0.25">
      <c r="A49" s="134">
        <v>2</v>
      </c>
      <c r="B49" s="353" t="s">
        <v>112</v>
      </c>
      <c r="C49" s="354"/>
      <c r="D49" s="160" t="s">
        <v>114</v>
      </c>
      <c r="E49" s="137" t="s">
        <v>148</v>
      </c>
      <c r="F49" s="136">
        <f>(21.45)</f>
        <v>21.45</v>
      </c>
      <c r="G49" s="355">
        <f>F49+F57</f>
        <v>21.45</v>
      </c>
      <c r="H49" s="356"/>
    </row>
    <row r="50" spans="1:8" ht="15.75" customHeight="1" x14ac:dyDescent="0.25">
      <c r="A50" s="134">
        <v>3</v>
      </c>
      <c r="B50" s="353" t="s">
        <v>113</v>
      </c>
      <c r="C50" s="354"/>
      <c r="D50" s="160" t="s">
        <v>115</v>
      </c>
      <c r="E50" s="138" t="e">
        <f>#REF!</f>
        <v>#REF!</v>
      </c>
      <c r="F50" s="136" t="e">
        <f>F49*E50</f>
        <v>#REF!</v>
      </c>
      <c r="G50" s="385" t="s">
        <v>137</v>
      </c>
      <c r="H50" s="386"/>
    </row>
    <row r="51" spans="1:8" ht="15" customHeight="1" thickBot="1" x14ac:dyDescent="0.3">
      <c r="A51" s="139">
        <v>4</v>
      </c>
      <c r="B51" s="388" t="s">
        <v>110</v>
      </c>
      <c r="C51" s="389"/>
      <c r="D51" s="161" t="s">
        <v>105</v>
      </c>
      <c r="E51" s="140"/>
      <c r="F51" s="141">
        <f>F48</f>
        <v>340.95000000000005</v>
      </c>
      <c r="G51" s="390" t="e">
        <f>F50+F58</f>
        <v>#REF!</v>
      </c>
      <c r="H51" s="391"/>
    </row>
    <row r="52" spans="1:8" ht="15" customHeight="1" thickTop="1" thickBot="1" x14ac:dyDescent="0.3">
      <c r="A52" s="157"/>
      <c r="B52" s="112"/>
      <c r="C52" s="112"/>
      <c r="D52" s="110"/>
      <c r="E52" s="107"/>
      <c r="F52" s="110"/>
      <c r="G52" s="158"/>
      <c r="H52" s="176"/>
    </row>
    <row r="53" spans="1:8" ht="15" customHeight="1" thickTop="1" x14ac:dyDescent="0.25">
      <c r="A53" s="392"/>
      <c r="B53" s="393"/>
      <c r="C53" s="393"/>
      <c r="D53" s="393"/>
      <c r="E53" s="393"/>
      <c r="F53" s="394"/>
      <c r="G53" s="110"/>
      <c r="H53" s="176"/>
    </row>
    <row r="54" spans="1:8" ht="15.75" customHeight="1" thickBot="1" x14ac:dyDescent="0.3">
      <c r="A54" s="395"/>
      <c r="B54" s="396"/>
      <c r="C54" s="396"/>
      <c r="D54" s="396"/>
      <c r="E54" s="396"/>
      <c r="F54" s="397"/>
      <c r="G54" s="110"/>
      <c r="H54" s="176"/>
    </row>
    <row r="55" spans="1:8" ht="15" customHeight="1" thickTop="1" x14ac:dyDescent="0.25">
      <c r="A55" s="131" t="s">
        <v>102</v>
      </c>
      <c r="B55" s="383" t="s">
        <v>32</v>
      </c>
      <c r="C55" s="384"/>
      <c r="D55" s="132" t="s">
        <v>35</v>
      </c>
      <c r="E55" s="132" t="s">
        <v>124</v>
      </c>
      <c r="F55" s="133" t="s">
        <v>125</v>
      </c>
      <c r="G55" s="158"/>
      <c r="H55" s="175"/>
    </row>
    <row r="56" spans="1:8" ht="15.75" customHeight="1" x14ac:dyDescent="0.25">
      <c r="A56" s="134">
        <v>1</v>
      </c>
      <c r="B56" s="353" t="s">
        <v>106</v>
      </c>
      <c r="C56" s="354"/>
      <c r="D56" s="160" t="s">
        <v>105</v>
      </c>
      <c r="E56" s="135"/>
      <c r="F56" s="136">
        <f>G15</f>
        <v>0</v>
      </c>
      <c r="G56" s="158"/>
      <c r="H56" s="175"/>
    </row>
    <row r="57" spans="1:8" x14ac:dyDescent="0.25">
      <c r="A57" s="134">
        <v>2</v>
      </c>
      <c r="B57" s="353" t="s">
        <v>112</v>
      </c>
      <c r="C57" s="354"/>
      <c r="D57" s="160" t="s">
        <v>114</v>
      </c>
      <c r="E57" s="137"/>
      <c r="F57" s="136"/>
      <c r="G57" s="158"/>
      <c r="H57" s="175"/>
    </row>
    <row r="58" spans="1:8" ht="15.75" customHeight="1" x14ac:dyDescent="0.25">
      <c r="A58" s="134">
        <v>3</v>
      </c>
      <c r="B58" s="353" t="s">
        <v>113</v>
      </c>
      <c r="C58" s="354"/>
      <c r="D58" s="160" t="s">
        <v>115</v>
      </c>
      <c r="E58" s="138"/>
      <c r="F58" s="136">
        <f>F57*E58</f>
        <v>0</v>
      </c>
      <c r="G58" s="158"/>
      <c r="H58" s="176"/>
    </row>
    <row r="59" spans="1:8" ht="15" customHeight="1" thickBot="1" x14ac:dyDescent="0.3">
      <c r="A59" s="139">
        <v>4</v>
      </c>
      <c r="B59" s="388" t="s">
        <v>110</v>
      </c>
      <c r="C59" s="389"/>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92" t="s">
        <v>146</v>
      </c>
      <c r="B62" s="393"/>
      <c r="C62" s="393"/>
      <c r="D62" s="393"/>
      <c r="E62" s="393"/>
      <c r="F62" s="393"/>
      <c r="G62" s="394"/>
      <c r="H62" s="175"/>
    </row>
    <row r="63" spans="1:8" ht="15.75" thickBot="1" x14ac:dyDescent="0.3">
      <c r="A63" s="395"/>
      <c r="B63" s="396"/>
      <c r="C63" s="396"/>
      <c r="D63" s="396"/>
      <c r="E63" s="396"/>
      <c r="F63" s="396"/>
      <c r="G63" s="397"/>
      <c r="H63" s="175"/>
    </row>
    <row r="64" spans="1:8" ht="20.25" customHeight="1" thickTop="1" x14ac:dyDescent="0.25">
      <c r="A64" s="180" t="s">
        <v>102</v>
      </c>
      <c r="B64" s="387" t="s">
        <v>123</v>
      </c>
      <c r="C64" s="387"/>
      <c r="D64" s="181" t="s">
        <v>126</v>
      </c>
      <c r="E64" s="387" t="s">
        <v>124</v>
      </c>
      <c r="F64" s="387"/>
      <c r="G64" s="182" t="s">
        <v>127</v>
      </c>
      <c r="H64" s="175"/>
    </row>
    <row r="65" spans="1:9" ht="20.25" customHeight="1" x14ac:dyDescent="0.25">
      <c r="A65" s="119">
        <v>1</v>
      </c>
      <c r="B65" s="409" t="s">
        <v>109</v>
      </c>
      <c r="C65" s="409"/>
      <c r="D65" s="159" t="s">
        <v>105</v>
      </c>
      <c r="E65" s="410" t="s">
        <v>150</v>
      </c>
      <c r="F65" s="410"/>
      <c r="G65" s="151">
        <f>182*8.3+235*7.15</f>
        <v>3190.8500000000004</v>
      </c>
      <c r="H65" s="175"/>
    </row>
    <row r="66" spans="1:9" ht="20.25" customHeight="1" x14ac:dyDescent="0.25">
      <c r="A66" s="123">
        <v>2</v>
      </c>
      <c r="B66" s="398" t="s">
        <v>112</v>
      </c>
      <c r="C66" s="398"/>
      <c r="D66" s="163" t="s">
        <v>116</v>
      </c>
      <c r="E66" s="400" t="s">
        <v>149</v>
      </c>
      <c r="F66" s="400"/>
      <c r="G66" s="151">
        <f>23.86+23.85+24.95+21.7+22.8+20.89</f>
        <v>138.05000000000001</v>
      </c>
      <c r="H66" s="175"/>
    </row>
    <row r="67" spans="1:9" ht="20.25" customHeight="1" x14ac:dyDescent="0.25">
      <c r="A67" s="119">
        <v>3</v>
      </c>
      <c r="B67" s="409" t="s">
        <v>117</v>
      </c>
      <c r="C67" s="409"/>
      <c r="D67" s="159" t="s">
        <v>115</v>
      </c>
      <c r="E67" s="413" t="e">
        <f>#REF!</f>
        <v>#REF!</v>
      </c>
      <c r="F67" s="413"/>
      <c r="G67" s="150" t="e">
        <f>G66*E67</f>
        <v>#REF!</v>
      </c>
      <c r="H67" s="175"/>
    </row>
    <row r="68" spans="1:9" ht="20.25" customHeight="1" x14ac:dyDescent="0.25">
      <c r="A68" s="119">
        <v>4</v>
      </c>
      <c r="B68" s="409" t="s">
        <v>118</v>
      </c>
      <c r="C68" s="409"/>
      <c r="D68" s="159" t="s">
        <v>119</v>
      </c>
      <c r="E68" s="425">
        <f>TRUNC(((G65*0.08)*1.8)/12,0)</f>
        <v>38</v>
      </c>
      <c r="F68" s="425"/>
      <c r="G68" s="150">
        <f>13*E68</f>
        <v>494</v>
      </c>
      <c r="H68" s="175"/>
    </row>
    <row r="69" spans="1:9" ht="20.25" customHeight="1" x14ac:dyDescent="0.25">
      <c r="A69" s="119">
        <v>5</v>
      </c>
      <c r="B69" s="409" t="s">
        <v>121</v>
      </c>
      <c r="C69" s="409"/>
      <c r="D69" s="159" t="s">
        <v>120</v>
      </c>
      <c r="E69" s="411" t="e">
        <f>#REF!</f>
        <v>#REF!</v>
      </c>
      <c r="F69" s="411"/>
      <c r="G69" s="150" t="e">
        <f>G68*E69</f>
        <v>#REF!</v>
      </c>
      <c r="H69" s="175"/>
    </row>
    <row r="70" spans="1:9" ht="20.25" customHeight="1" thickBot="1" x14ac:dyDescent="0.3">
      <c r="A70" s="120">
        <v>6</v>
      </c>
      <c r="B70" s="412" t="s">
        <v>110</v>
      </c>
      <c r="C70" s="412"/>
      <c r="D70" s="164" t="s">
        <v>105</v>
      </c>
      <c r="E70" s="423" t="s">
        <v>150</v>
      </c>
      <c r="F70" s="424"/>
      <c r="G70" s="152">
        <f>182*8.3+235*7.15</f>
        <v>3190.8500000000004</v>
      </c>
      <c r="H70" s="175"/>
      <c r="I70">
        <f>G66/2.5</f>
        <v>55.220000000000006</v>
      </c>
    </row>
    <row r="71" spans="1:9" ht="16.5" thickTop="1" thickBot="1" x14ac:dyDescent="0.3">
      <c r="A71" s="129"/>
      <c r="B71" s="110"/>
      <c r="C71" s="110"/>
      <c r="D71" s="110"/>
      <c r="E71" s="107"/>
      <c r="F71" s="110"/>
      <c r="G71" s="110"/>
      <c r="H71" s="176"/>
      <c r="I71">
        <f>I70/0.03</f>
        <v>1840.666666666667</v>
      </c>
    </row>
    <row r="72" spans="1:9" ht="15.75" customHeight="1" thickTop="1" x14ac:dyDescent="0.25">
      <c r="A72" s="392" t="s">
        <v>155</v>
      </c>
      <c r="B72" s="393"/>
      <c r="C72" s="393"/>
      <c r="D72" s="393"/>
      <c r="E72" s="393"/>
      <c r="F72" s="393"/>
      <c r="G72" s="394"/>
      <c r="H72" s="407" t="s">
        <v>154</v>
      </c>
    </row>
    <row r="73" spans="1:9" ht="15.75" thickBot="1" x14ac:dyDescent="0.3">
      <c r="A73" s="395"/>
      <c r="B73" s="396"/>
      <c r="C73" s="396"/>
      <c r="D73" s="396"/>
      <c r="E73" s="396"/>
      <c r="F73" s="396"/>
      <c r="G73" s="397"/>
      <c r="H73" s="408"/>
    </row>
    <row r="74" spans="1:9" ht="20.25" customHeight="1" thickTop="1" x14ac:dyDescent="0.25">
      <c r="A74" s="180" t="s">
        <v>102</v>
      </c>
      <c r="B74" s="387" t="s">
        <v>123</v>
      </c>
      <c r="C74" s="387"/>
      <c r="D74" s="181" t="s">
        <v>126</v>
      </c>
      <c r="E74" s="387" t="s">
        <v>124</v>
      </c>
      <c r="F74" s="387"/>
      <c r="G74" s="182" t="s">
        <v>127</v>
      </c>
      <c r="H74" s="183"/>
    </row>
    <row r="75" spans="1:9" ht="20.25" customHeight="1" x14ac:dyDescent="0.25">
      <c r="A75" s="119">
        <v>1</v>
      </c>
      <c r="B75" s="409" t="s">
        <v>109</v>
      </c>
      <c r="C75" s="409"/>
      <c r="D75" s="159" t="s">
        <v>105</v>
      </c>
      <c r="E75" s="410" t="s">
        <v>152</v>
      </c>
      <c r="F75" s="410"/>
      <c r="G75" s="150"/>
      <c r="H75" s="184">
        <f>G65+G75</f>
        <v>3190.8500000000004</v>
      </c>
    </row>
    <row r="76" spans="1:9" ht="20.25" customHeight="1" x14ac:dyDescent="0.25">
      <c r="A76" s="123">
        <v>2</v>
      </c>
      <c r="B76" s="398" t="s">
        <v>112</v>
      </c>
      <c r="C76" s="398"/>
      <c r="D76" s="163" t="s">
        <v>116</v>
      </c>
      <c r="E76" s="400" t="s">
        <v>151</v>
      </c>
      <c r="F76" s="400"/>
      <c r="G76" s="151">
        <f>24.57+22.9+22.1+21.23+22.63</f>
        <v>113.42999999999999</v>
      </c>
      <c r="H76" s="184">
        <f t="shared" ref="H76:H80" si="1">G66+G76</f>
        <v>251.48000000000002</v>
      </c>
    </row>
    <row r="77" spans="1:9" ht="20.25" customHeight="1" x14ac:dyDescent="0.25">
      <c r="A77" s="119">
        <v>3</v>
      </c>
      <c r="B77" s="409" t="s">
        <v>117</v>
      </c>
      <c r="C77" s="409"/>
      <c r="D77" s="159" t="s">
        <v>115</v>
      </c>
      <c r="E77" s="413" t="e">
        <f>#REF!</f>
        <v>#REF!</v>
      </c>
      <c r="F77" s="413"/>
      <c r="G77" s="150" t="e">
        <f>G76*E77</f>
        <v>#REF!</v>
      </c>
      <c r="H77" s="184" t="e">
        <f t="shared" si="1"/>
        <v>#REF!</v>
      </c>
    </row>
    <row r="78" spans="1:9" ht="20.25" customHeight="1" x14ac:dyDescent="0.25">
      <c r="A78" s="119">
        <v>4</v>
      </c>
      <c r="B78" s="409" t="s">
        <v>118</v>
      </c>
      <c r="C78" s="409"/>
      <c r="D78" s="159" t="s">
        <v>119</v>
      </c>
      <c r="E78" s="425">
        <f>TRUNC(((G75*0.08)*1.8)/12,0)</f>
        <v>0</v>
      </c>
      <c r="F78" s="425"/>
      <c r="G78" s="150">
        <f>13*E78</f>
        <v>0</v>
      </c>
      <c r="H78" s="184">
        <f t="shared" si="1"/>
        <v>494</v>
      </c>
    </row>
    <row r="79" spans="1:9" ht="20.25" customHeight="1" x14ac:dyDescent="0.25">
      <c r="A79" s="119">
        <v>5</v>
      </c>
      <c r="B79" s="409" t="s">
        <v>121</v>
      </c>
      <c r="C79" s="409"/>
      <c r="D79" s="159" t="s">
        <v>120</v>
      </c>
      <c r="E79" s="411" t="e">
        <f>#REF!</f>
        <v>#REF!</v>
      </c>
      <c r="F79" s="411"/>
      <c r="G79" s="150" t="e">
        <f>G78*E79</f>
        <v>#REF!</v>
      </c>
      <c r="H79" s="184" t="e">
        <f t="shared" si="1"/>
        <v>#REF!</v>
      </c>
    </row>
    <row r="80" spans="1:9" ht="20.25" customHeight="1" thickBot="1" x14ac:dyDescent="0.3">
      <c r="A80" s="120">
        <v>6</v>
      </c>
      <c r="B80" s="412" t="s">
        <v>110</v>
      </c>
      <c r="C80" s="412"/>
      <c r="D80" s="164" t="s">
        <v>105</v>
      </c>
      <c r="E80" s="423" t="s">
        <v>153</v>
      </c>
      <c r="F80" s="424"/>
      <c r="G80" s="152">
        <f>208*7.7</f>
        <v>1601.6000000000001</v>
      </c>
      <c r="H80" s="185">
        <f t="shared" si="1"/>
        <v>4792.4500000000007</v>
      </c>
      <c r="I80">
        <f>G76/2.5</f>
        <v>45.372</v>
      </c>
    </row>
    <row r="81" spans="1:9" ht="15.75" thickTop="1" x14ac:dyDescent="0.25">
      <c r="A81" s="129"/>
      <c r="B81" s="110"/>
      <c r="C81" s="110"/>
      <c r="D81" s="110"/>
      <c r="E81" s="107"/>
      <c r="F81" s="110"/>
      <c r="G81" s="110"/>
      <c r="H81" s="176"/>
      <c r="I81">
        <f>I80/0.03</f>
        <v>1512.4</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B80:C80"/>
    <mergeCell ref="E80:F80"/>
    <mergeCell ref="H72:H73"/>
    <mergeCell ref="B77:C77"/>
    <mergeCell ref="E77:F77"/>
    <mergeCell ref="B78:C78"/>
    <mergeCell ref="E78:F78"/>
    <mergeCell ref="B79:C79"/>
    <mergeCell ref="E79:F79"/>
    <mergeCell ref="A72:G73"/>
    <mergeCell ref="B74:C74"/>
    <mergeCell ref="E74:F74"/>
    <mergeCell ref="B75:C75"/>
    <mergeCell ref="E75:F75"/>
    <mergeCell ref="B76:C76"/>
    <mergeCell ref="E76:F76"/>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51"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57" t="s">
        <v>111</v>
      </c>
      <c r="B1" s="358"/>
      <c r="C1" s="358"/>
      <c r="D1" s="358"/>
      <c r="E1" s="358"/>
      <c r="F1" s="358"/>
      <c r="G1" s="358"/>
      <c r="H1" s="359"/>
    </row>
    <row r="2" spans="1:8" x14ac:dyDescent="0.25">
      <c r="A2" s="360"/>
      <c r="B2" s="361"/>
      <c r="C2" s="361"/>
      <c r="D2" s="361"/>
      <c r="E2" s="361"/>
      <c r="F2" s="361"/>
      <c r="G2" s="361"/>
      <c r="H2" s="362"/>
    </row>
    <row r="3" spans="1:8" x14ac:dyDescent="0.25">
      <c r="A3" s="360"/>
      <c r="B3" s="361"/>
      <c r="C3" s="361"/>
      <c r="D3" s="361"/>
      <c r="E3" s="361"/>
      <c r="F3" s="361"/>
      <c r="G3" s="361"/>
      <c r="H3" s="362"/>
    </row>
    <row r="4" spans="1:8" ht="15.75" thickBot="1" x14ac:dyDescent="0.3">
      <c r="A4" s="363"/>
      <c r="B4" s="364"/>
      <c r="C4" s="364"/>
      <c r="D4" s="364"/>
      <c r="E4" s="364"/>
      <c r="F4" s="364"/>
      <c r="G4" s="364"/>
      <c r="H4" s="365"/>
    </row>
    <row r="5" spans="1:8" ht="18.75" customHeight="1" thickTop="1" thickBot="1" x14ac:dyDescent="0.35">
      <c r="A5" s="366">
        <v>43040</v>
      </c>
      <c r="B5" s="367"/>
      <c r="C5" s="367"/>
      <c r="D5" s="367"/>
      <c r="E5" s="367"/>
      <c r="F5" s="367"/>
      <c r="G5" s="368"/>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15</v>
      </c>
      <c r="C7" s="108">
        <v>9</v>
      </c>
      <c r="D7" s="155">
        <f t="shared" ref="D7:D10" si="0">C7*B7</f>
        <v>135</v>
      </c>
      <c r="E7" s="155" t="s">
        <v>156</v>
      </c>
      <c r="F7" s="155" t="s">
        <v>157</v>
      </c>
      <c r="G7" s="369">
        <f>SUM(D7:D32)</f>
        <v>602.39</v>
      </c>
      <c r="H7" s="178"/>
    </row>
    <row r="8" spans="1:8" ht="15" customHeight="1" x14ac:dyDescent="0.25">
      <c r="A8" s="125"/>
      <c r="B8" s="108">
        <v>0.8</v>
      </c>
      <c r="C8" s="108">
        <v>60</v>
      </c>
      <c r="D8" s="155">
        <f t="shared" si="0"/>
        <v>48</v>
      </c>
      <c r="E8" s="155" t="s">
        <v>156</v>
      </c>
      <c r="F8" s="155" t="s">
        <v>157</v>
      </c>
      <c r="G8" s="370"/>
      <c r="H8" s="178"/>
    </row>
    <row r="9" spans="1:8" ht="15" customHeight="1" x14ac:dyDescent="0.25">
      <c r="A9" s="125"/>
      <c r="B9" s="108">
        <v>1.65</v>
      </c>
      <c r="C9" s="108">
        <v>250</v>
      </c>
      <c r="D9" s="155">
        <f t="shared" si="0"/>
        <v>412.5</v>
      </c>
      <c r="E9" s="155" t="s">
        <v>156</v>
      </c>
      <c r="F9" s="155" t="s">
        <v>157</v>
      </c>
      <c r="G9" s="370"/>
      <c r="H9" s="178"/>
    </row>
    <row r="10" spans="1:8" ht="15" customHeight="1" x14ac:dyDescent="0.25">
      <c r="A10" s="125"/>
      <c r="B10" s="108">
        <v>10.6</v>
      </c>
      <c r="C10" s="108">
        <v>0.65</v>
      </c>
      <c r="D10" s="155">
        <f t="shared" si="0"/>
        <v>6.89</v>
      </c>
      <c r="E10" s="155" t="s">
        <v>156</v>
      </c>
      <c r="F10" s="155" t="s">
        <v>157</v>
      </c>
      <c r="G10" s="370"/>
      <c r="H10" s="178"/>
    </row>
    <row r="11" spans="1:8" ht="15" customHeight="1" x14ac:dyDescent="0.25">
      <c r="A11" s="125"/>
      <c r="B11" s="108"/>
      <c r="C11" s="108"/>
      <c r="D11" s="155"/>
      <c r="E11" s="109"/>
      <c r="F11" s="155"/>
      <c r="G11" s="370"/>
      <c r="H11" s="178"/>
    </row>
    <row r="12" spans="1:8" ht="15" customHeight="1" x14ac:dyDescent="0.25">
      <c r="A12" s="125"/>
      <c r="B12" s="108"/>
      <c r="C12" s="108"/>
      <c r="D12" s="155"/>
      <c r="E12" s="109"/>
      <c r="F12" s="155"/>
      <c r="G12" s="370"/>
      <c r="H12" s="178"/>
    </row>
    <row r="13" spans="1:8" ht="15" customHeight="1" x14ac:dyDescent="0.25">
      <c r="A13" s="125"/>
      <c r="B13" s="108"/>
      <c r="C13" s="108"/>
      <c r="D13" s="155"/>
      <c r="E13" s="109"/>
      <c r="F13" s="155"/>
      <c r="G13" s="370"/>
      <c r="H13" s="126"/>
    </row>
    <row r="14" spans="1:8" ht="15" customHeight="1" x14ac:dyDescent="0.25">
      <c r="A14" s="125"/>
      <c r="B14" s="108"/>
      <c r="C14" s="108"/>
      <c r="D14" s="155"/>
      <c r="E14" s="109"/>
      <c r="F14" s="155"/>
      <c r="G14" s="370"/>
      <c r="H14" s="126"/>
    </row>
    <row r="15" spans="1:8" ht="15" customHeight="1" x14ac:dyDescent="0.25">
      <c r="A15" s="125"/>
      <c r="B15" s="108"/>
      <c r="C15" s="108"/>
      <c r="D15" s="155"/>
      <c r="E15" s="109"/>
      <c r="F15" s="155"/>
      <c r="G15" s="370"/>
      <c r="H15" s="126"/>
    </row>
    <row r="16" spans="1:8" ht="15" customHeight="1" x14ac:dyDescent="0.25">
      <c r="A16" s="125"/>
      <c r="B16" s="108"/>
      <c r="C16" s="108"/>
      <c r="D16" s="155"/>
      <c r="E16" s="109"/>
      <c r="F16" s="155"/>
      <c r="G16" s="370"/>
      <c r="H16" s="126"/>
    </row>
    <row r="17" spans="1:8" ht="15" customHeight="1" x14ac:dyDescent="0.25">
      <c r="A17" s="125"/>
      <c r="B17" s="108"/>
      <c r="C17" s="108"/>
      <c r="D17" s="155"/>
      <c r="E17" s="109"/>
      <c r="F17" s="155"/>
      <c r="G17" s="370"/>
      <c r="H17" s="126"/>
    </row>
    <row r="18" spans="1:8" ht="15" customHeight="1" x14ac:dyDescent="0.25">
      <c r="A18" s="125"/>
      <c r="B18" s="108"/>
      <c r="C18" s="108"/>
      <c r="D18" s="155"/>
      <c r="E18" s="109"/>
      <c r="F18" s="155"/>
      <c r="G18" s="370"/>
      <c r="H18" s="126"/>
    </row>
    <row r="19" spans="1:8" ht="15" customHeight="1" x14ac:dyDescent="0.25">
      <c r="A19" s="125"/>
      <c r="B19" s="108"/>
      <c r="C19" s="108"/>
      <c r="D19" s="155"/>
      <c r="E19" s="109"/>
      <c r="F19" s="155"/>
      <c r="G19" s="370"/>
      <c r="H19" s="126"/>
    </row>
    <row r="20" spans="1:8" ht="15" customHeight="1" x14ac:dyDescent="0.25">
      <c r="A20" s="125"/>
      <c r="B20" s="108"/>
      <c r="C20" s="108"/>
      <c r="D20" s="155"/>
      <c r="E20" s="109"/>
      <c r="F20" s="155"/>
      <c r="G20" s="370"/>
      <c r="H20" s="126"/>
    </row>
    <row r="21" spans="1:8" ht="15" customHeight="1" x14ac:dyDescent="0.25">
      <c r="A21" s="125"/>
      <c r="B21" s="108"/>
      <c r="C21" s="108"/>
      <c r="D21" s="155"/>
      <c r="E21" s="109"/>
      <c r="F21" s="155"/>
      <c r="G21" s="370"/>
      <c r="H21" s="126"/>
    </row>
    <row r="22" spans="1:8" ht="15" customHeight="1" x14ac:dyDescent="0.25">
      <c r="A22" s="125"/>
      <c r="B22" s="108"/>
      <c r="C22" s="108"/>
      <c r="D22" s="155"/>
      <c r="E22" s="109"/>
      <c r="F22" s="155"/>
      <c r="G22" s="370"/>
      <c r="H22" s="126"/>
    </row>
    <row r="23" spans="1:8" ht="15" customHeight="1" x14ac:dyDescent="0.25">
      <c r="A23" s="125"/>
      <c r="B23" s="108"/>
      <c r="C23" s="108"/>
      <c r="D23" s="155"/>
      <c r="E23" s="109"/>
      <c r="F23" s="155"/>
      <c r="G23" s="370"/>
      <c r="H23" s="126"/>
    </row>
    <row r="24" spans="1:8" ht="15" customHeight="1" x14ac:dyDescent="0.25">
      <c r="A24" s="125"/>
      <c r="B24" s="108"/>
      <c r="C24" s="108"/>
      <c r="D24" s="155"/>
      <c r="E24" s="109"/>
      <c r="F24" s="155"/>
      <c r="G24" s="370"/>
      <c r="H24" s="126"/>
    </row>
    <row r="25" spans="1:8" ht="15" customHeight="1" x14ac:dyDescent="0.25">
      <c r="A25" s="125"/>
      <c r="B25" s="108"/>
      <c r="C25" s="108"/>
      <c r="D25" s="155"/>
      <c r="E25" s="109"/>
      <c r="F25" s="155"/>
      <c r="G25" s="370"/>
      <c r="H25" s="126"/>
    </row>
    <row r="26" spans="1:8" ht="15" customHeight="1" x14ac:dyDescent="0.25">
      <c r="A26" s="125"/>
      <c r="B26" s="108"/>
      <c r="C26" s="108"/>
      <c r="D26" s="155"/>
      <c r="E26" s="109"/>
      <c r="F26" s="155"/>
      <c r="G26" s="370"/>
      <c r="H26" s="126"/>
    </row>
    <row r="27" spans="1:8" ht="15" customHeight="1" x14ac:dyDescent="0.25">
      <c r="A27" s="125"/>
      <c r="B27" s="108"/>
      <c r="C27" s="108"/>
      <c r="D27" s="155"/>
      <c r="E27" s="109"/>
      <c r="F27" s="155"/>
      <c r="G27" s="370"/>
      <c r="H27" s="126"/>
    </row>
    <row r="28" spans="1:8" ht="15" customHeight="1" x14ac:dyDescent="0.25">
      <c r="A28" s="125"/>
      <c r="B28" s="108"/>
      <c r="C28" s="108"/>
      <c r="D28" s="155"/>
      <c r="E28" s="109"/>
      <c r="F28" s="155"/>
      <c r="G28" s="370"/>
      <c r="H28" s="126"/>
    </row>
    <row r="29" spans="1:8" ht="15" customHeight="1" x14ac:dyDescent="0.25">
      <c r="A29" s="125"/>
      <c r="B29" s="108"/>
      <c r="C29" s="108"/>
      <c r="D29" s="155"/>
      <c r="E29" s="109"/>
      <c r="F29" s="155"/>
      <c r="G29" s="370"/>
      <c r="H29" s="126"/>
    </row>
    <row r="30" spans="1:8" ht="15" customHeight="1" x14ac:dyDescent="0.25">
      <c r="A30" s="125"/>
      <c r="B30" s="108"/>
      <c r="C30" s="108"/>
      <c r="D30" s="155"/>
      <c r="E30" s="109"/>
      <c r="F30" s="155"/>
      <c r="G30" s="370"/>
      <c r="H30" s="126"/>
    </row>
    <row r="31" spans="1:8" ht="15" customHeight="1" x14ac:dyDescent="0.25">
      <c r="A31" s="125"/>
      <c r="B31" s="108"/>
      <c r="C31" s="108"/>
      <c r="D31" s="155"/>
      <c r="E31" s="109"/>
      <c r="F31" s="155"/>
      <c r="G31" s="370"/>
      <c r="H31" s="126"/>
    </row>
    <row r="32" spans="1:8" ht="15" customHeight="1" x14ac:dyDescent="0.25">
      <c r="A32" s="125"/>
      <c r="B32" s="108"/>
      <c r="C32" s="108"/>
      <c r="D32" s="155"/>
      <c r="E32" s="109"/>
      <c r="F32" s="155"/>
      <c r="G32" s="370"/>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71" t="s">
        <v>128</v>
      </c>
    </row>
    <row r="40" spans="1:8" ht="15" customHeight="1" thickBot="1" x14ac:dyDescent="0.3">
      <c r="A40" s="157"/>
      <c r="B40" s="143"/>
      <c r="C40" s="143"/>
      <c r="D40" s="144"/>
      <c r="E40" s="145"/>
      <c r="F40" s="130"/>
      <c r="G40" s="174"/>
      <c r="H40" s="372"/>
    </row>
    <row r="41" spans="1:8" ht="15" customHeight="1" thickTop="1" x14ac:dyDescent="0.25">
      <c r="A41" s="156"/>
      <c r="B41" s="146"/>
      <c r="C41" s="146"/>
      <c r="D41" s="147"/>
      <c r="E41" s="148"/>
      <c r="F41" s="149"/>
      <c r="G41" s="373">
        <f>SUM(D41:D42)</f>
        <v>0</v>
      </c>
      <c r="H41" s="375">
        <f>SUM(G7:G40)</f>
        <v>602.39</v>
      </c>
    </row>
    <row r="42" spans="1:8" ht="15" customHeight="1" thickBot="1" x14ac:dyDescent="0.3">
      <c r="A42" s="118"/>
      <c r="B42" s="114"/>
      <c r="C42" s="114"/>
      <c r="D42" s="165"/>
      <c r="E42" s="115"/>
      <c r="F42" s="122"/>
      <c r="G42" s="374"/>
      <c r="H42" s="376"/>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77" t="str">
        <f>"QUANTIDADES RUA OPERAÇÃO TAPA BURACO NA "&amp;UPPER(E10)</f>
        <v>QUANTIDADES RUA OPERAÇÃO TAPA BURACO NA RUA FRANCISCO ARGONE</v>
      </c>
      <c r="B45" s="378"/>
      <c r="C45" s="378"/>
      <c r="D45" s="378"/>
      <c r="E45" s="378"/>
      <c r="F45" s="379"/>
      <c r="G45" s="377" t="s">
        <v>136</v>
      </c>
      <c r="H45" s="379"/>
    </row>
    <row r="46" spans="1:8" ht="15.75" customHeight="1" thickBot="1" x14ac:dyDescent="0.3">
      <c r="A46" s="380"/>
      <c r="B46" s="381"/>
      <c r="C46" s="381"/>
      <c r="D46" s="381"/>
      <c r="E46" s="381"/>
      <c r="F46" s="382"/>
      <c r="G46" s="380"/>
      <c r="H46" s="382"/>
    </row>
    <row r="47" spans="1:8" ht="15" customHeight="1" thickTop="1" x14ac:dyDescent="0.25">
      <c r="A47" s="131" t="s">
        <v>102</v>
      </c>
      <c r="B47" s="383" t="s">
        <v>32</v>
      </c>
      <c r="C47" s="384"/>
      <c r="D47" s="132" t="s">
        <v>35</v>
      </c>
      <c r="E47" s="132" t="s">
        <v>124</v>
      </c>
      <c r="F47" s="133" t="s">
        <v>125</v>
      </c>
      <c r="G47" s="156"/>
      <c r="H47" s="179"/>
    </row>
    <row r="48" spans="1:8" ht="15.75" customHeight="1" x14ac:dyDescent="0.25">
      <c r="A48" s="134">
        <v>1</v>
      </c>
      <c r="B48" s="353" t="s">
        <v>106</v>
      </c>
      <c r="C48" s="354"/>
      <c r="D48" s="160" t="s">
        <v>105</v>
      </c>
      <c r="E48" s="135"/>
      <c r="F48" s="136">
        <f>G7</f>
        <v>602.39</v>
      </c>
      <c r="G48" s="385" t="s">
        <v>112</v>
      </c>
      <c r="H48" s="386"/>
    </row>
    <row r="49" spans="1:8" x14ac:dyDescent="0.25">
      <c r="A49" s="134">
        <v>2</v>
      </c>
      <c r="B49" s="353" t="s">
        <v>112</v>
      </c>
      <c r="C49" s="354"/>
      <c r="D49" s="160" t="s">
        <v>114</v>
      </c>
      <c r="E49" s="187" t="s">
        <v>173</v>
      </c>
      <c r="F49" s="136">
        <f>(23.42)</f>
        <v>23.42</v>
      </c>
      <c r="G49" s="355">
        <f>F49+F57</f>
        <v>23.42</v>
      </c>
      <c r="H49" s="356"/>
    </row>
    <row r="50" spans="1:8" ht="15.75" customHeight="1" x14ac:dyDescent="0.25">
      <c r="A50" s="134">
        <v>3</v>
      </c>
      <c r="B50" s="353" t="s">
        <v>113</v>
      </c>
      <c r="C50" s="354"/>
      <c r="D50" s="160" t="s">
        <v>115</v>
      </c>
      <c r="E50" s="138" t="e">
        <f>#REF!</f>
        <v>#REF!</v>
      </c>
      <c r="F50" s="136" t="e">
        <f>F49*E50</f>
        <v>#REF!</v>
      </c>
      <c r="G50" s="385" t="s">
        <v>137</v>
      </c>
      <c r="H50" s="386"/>
    </row>
    <row r="51" spans="1:8" ht="15" customHeight="1" thickBot="1" x14ac:dyDescent="0.3">
      <c r="A51" s="139">
        <v>4</v>
      </c>
      <c r="B51" s="388" t="s">
        <v>110</v>
      </c>
      <c r="C51" s="389"/>
      <c r="D51" s="161" t="s">
        <v>105</v>
      </c>
      <c r="E51" s="140"/>
      <c r="F51" s="141">
        <f>F48</f>
        <v>602.39</v>
      </c>
      <c r="G51" s="390" t="e">
        <f>F50+F58</f>
        <v>#REF!</v>
      </c>
      <c r="H51" s="391"/>
    </row>
    <row r="52" spans="1:8" ht="15" customHeight="1" thickTop="1" thickBot="1" x14ac:dyDescent="0.3">
      <c r="A52" s="157"/>
      <c r="B52" s="112"/>
      <c r="C52" s="112"/>
      <c r="D52" s="110"/>
      <c r="E52" s="107"/>
      <c r="F52" s="110"/>
      <c r="G52" s="158"/>
      <c r="H52" s="176"/>
    </row>
    <row r="53" spans="1:8" ht="15" customHeight="1" thickTop="1" x14ac:dyDescent="0.25">
      <c r="A53" s="392"/>
      <c r="B53" s="393"/>
      <c r="C53" s="393"/>
      <c r="D53" s="393"/>
      <c r="E53" s="393"/>
      <c r="F53" s="394"/>
      <c r="G53" s="110"/>
      <c r="H53" s="176"/>
    </row>
    <row r="54" spans="1:8" ht="15.75" customHeight="1" thickBot="1" x14ac:dyDescent="0.3">
      <c r="A54" s="395"/>
      <c r="B54" s="396"/>
      <c r="C54" s="396"/>
      <c r="D54" s="396"/>
      <c r="E54" s="396"/>
      <c r="F54" s="397"/>
      <c r="G54" s="110"/>
      <c r="H54" s="176"/>
    </row>
    <row r="55" spans="1:8" ht="15" customHeight="1" thickTop="1" x14ac:dyDescent="0.25">
      <c r="A55" s="131" t="s">
        <v>102</v>
      </c>
      <c r="B55" s="383" t="s">
        <v>32</v>
      </c>
      <c r="C55" s="384"/>
      <c r="D55" s="132" t="s">
        <v>35</v>
      </c>
      <c r="E55" s="132" t="s">
        <v>124</v>
      </c>
      <c r="F55" s="133" t="s">
        <v>125</v>
      </c>
      <c r="G55" s="158"/>
      <c r="H55" s="175"/>
    </row>
    <row r="56" spans="1:8" ht="15.75" customHeight="1" x14ac:dyDescent="0.25">
      <c r="A56" s="134">
        <v>1</v>
      </c>
      <c r="B56" s="353" t="s">
        <v>106</v>
      </c>
      <c r="C56" s="354"/>
      <c r="D56" s="160" t="s">
        <v>105</v>
      </c>
      <c r="E56" s="135"/>
      <c r="F56" s="136">
        <f>G15</f>
        <v>0</v>
      </c>
      <c r="G56" s="158"/>
      <c r="H56" s="175"/>
    </row>
    <row r="57" spans="1:8" x14ac:dyDescent="0.25">
      <c r="A57" s="134">
        <v>2</v>
      </c>
      <c r="B57" s="353" t="s">
        <v>112</v>
      </c>
      <c r="C57" s="354"/>
      <c r="D57" s="160" t="s">
        <v>114</v>
      </c>
      <c r="E57" s="137"/>
      <c r="F57" s="136"/>
      <c r="G57" s="158"/>
      <c r="H57" s="175"/>
    </row>
    <row r="58" spans="1:8" ht="15.75" customHeight="1" x14ac:dyDescent="0.25">
      <c r="A58" s="134">
        <v>3</v>
      </c>
      <c r="B58" s="353" t="s">
        <v>113</v>
      </c>
      <c r="C58" s="354"/>
      <c r="D58" s="160" t="s">
        <v>115</v>
      </c>
      <c r="E58" s="138"/>
      <c r="F58" s="136">
        <f>F57*E58</f>
        <v>0</v>
      </c>
      <c r="G58" s="158"/>
      <c r="H58" s="176"/>
    </row>
    <row r="59" spans="1:8" ht="15" customHeight="1" thickBot="1" x14ac:dyDescent="0.3">
      <c r="A59" s="139">
        <v>4</v>
      </c>
      <c r="B59" s="388" t="s">
        <v>110</v>
      </c>
      <c r="C59" s="389"/>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92" t="s">
        <v>146</v>
      </c>
      <c r="B62" s="393"/>
      <c r="C62" s="393"/>
      <c r="D62" s="393"/>
      <c r="E62" s="393"/>
      <c r="F62" s="393"/>
      <c r="G62" s="394"/>
      <c r="H62" s="175"/>
    </row>
    <row r="63" spans="1:8" ht="15.75" thickBot="1" x14ac:dyDescent="0.3">
      <c r="A63" s="395"/>
      <c r="B63" s="396"/>
      <c r="C63" s="396"/>
      <c r="D63" s="396"/>
      <c r="E63" s="396"/>
      <c r="F63" s="396"/>
      <c r="G63" s="397"/>
      <c r="H63" s="175"/>
    </row>
    <row r="64" spans="1:8" ht="20.25" customHeight="1" thickTop="1" x14ac:dyDescent="0.25">
      <c r="A64" s="180" t="s">
        <v>102</v>
      </c>
      <c r="B64" s="387" t="s">
        <v>123</v>
      </c>
      <c r="C64" s="387"/>
      <c r="D64" s="181" t="s">
        <v>126</v>
      </c>
      <c r="E64" s="387" t="s">
        <v>124</v>
      </c>
      <c r="F64" s="387"/>
      <c r="G64" s="182" t="s">
        <v>127</v>
      </c>
      <c r="H64" s="175"/>
    </row>
    <row r="65" spans="1:9" ht="20.25" customHeight="1" x14ac:dyDescent="0.25">
      <c r="A65" s="119">
        <v>1</v>
      </c>
      <c r="B65" s="409" t="s">
        <v>109</v>
      </c>
      <c r="C65" s="409"/>
      <c r="D65" s="159" t="s">
        <v>105</v>
      </c>
      <c r="E65" s="399" t="s">
        <v>158</v>
      </c>
      <c r="F65" s="399"/>
      <c r="G65" s="151">
        <f>193*7.7+235*7.15</f>
        <v>3166.3500000000004</v>
      </c>
      <c r="H65" s="175"/>
    </row>
    <row r="66" spans="1:9" ht="27" customHeight="1" x14ac:dyDescent="0.25">
      <c r="A66" s="123">
        <v>2</v>
      </c>
      <c r="B66" s="398" t="s">
        <v>112</v>
      </c>
      <c r="C66" s="398"/>
      <c r="D66" s="163" t="s">
        <v>116</v>
      </c>
      <c r="E66" s="400" t="s">
        <v>172</v>
      </c>
      <c r="F66" s="400"/>
      <c r="G66" s="151">
        <f>23+21.66+23.67+22.74+23.22+23.06+21.28+24.77+23.3+22.09+15.12+21.13+21.37+21.02</f>
        <v>307.43</v>
      </c>
      <c r="H66" s="175"/>
    </row>
    <row r="67" spans="1:9" ht="20.25" customHeight="1" x14ac:dyDescent="0.25">
      <c r="A67" s="119">
        <v>3</v>
      </c>
      <c r="B67" s="409" t="s">
        <v>117</v>
      </c>
      <c r="C67" s="409"/>
      <c r="D67" s="159" t="s">
        <v>115</v>
      </c>
      <c r="E67" s="413" t="e">
        <f>#REF!</f>
        <v>#REF!</v>
      </c>
      <c r="F67" s="413"/>
      <c r="G67" s="150" t="e">
        <f>G66*E67</f>
        <v>#REF!</v>
      </c>
      <c r="H67" s="175"/>
    </row>
    <row r="68" spans="1:9" ht="20.25" customHeight="1" x14ac:dyDescent="0.25">
      <c r="A68" s="119">
        <v>4</v>
      </c>
      <c r="B68" s="409" t="s">
        <v>118</v>
      </c>
      <c r="C68" s="409"/>
      <c r="D68" s="159" t="s">
        <v>119</v>
      </c>
      <c r="E68" s="425">
        <f>TRUNC(((G65*0.08)*1.8)/12,0)</f>
        <v>37</v>
      </c>
      <c r="F68" s="425"/>
      <c r="G68" s="150">
        <f>13*E68</f>
        <v>481</v>
      </c>
      <c r="H68" s="175"/>
    </row>
    <row r="69" spans="1:9" ht="20.25" customHeight="1" x14ac:dyDescent="0.25">
      <c r="A69" s="119">
        <v>5</v>
      </c>
      <c r="B69" s="409" t="s">
        <v>121</v>
      </c>
      <c r="C69" s="409"/>
      <c r="D69" s="159" t="s">
        <v>120</v>
      </c>
      <c r="E69" s="411" t="e">
        <f>#REF!</f>
        <v>#REF!</v>
      </c>
      <c r="F69" s="411"/>
      <c r="G69" s="150" t="e">
        <f>G68*E69</f>
        <v>#REF!</v>
      </c>
      <c r="H69" s="175"/>
    </row>
    <row r="70" spans="1:9" ht="20.25" customHeight="1" thickBot="1" x14ac:dyDescent="0.3">
      <c r="A70" s="120">
        <v>6</v>
      </c>
      <c r="B70" s="412" t="s">
        <v>110</v>
      </c>
      <c r="C70" s="412"/>
      <c r="D70" s="164" t="s">
        <v>105</v>
      </c>
      <c r="E70" s="423" t="s">
        <v>158</v>
      </c>
      <c r="F70" s="424"/>
      <c r="G70" s="152">
        <f>193*7.7+235*7.15</f>
        <v>3166.3500000000004</v>
      </c>
      <c r="H70" s="175"/>
      <c r="I70">
        <f>G66/2.5</f>
        <v>122.97200000000001</v>
      </c>
    </row>
    <row r="71" spans="1:9" ht="16.5" thickTop="1" thickBot="1" x14ac:dyDescent="0.3">
      <c r="A71" s="129"/>
      <c r="B71" s="110"/>
      <c r="C71" s="110"/>
      <c r="D71" s="110"/>
      <c r="E71" s="107"/>
      <c r="F71" s="110"/>
      <c r="G71" s="110"/>
      <c r="H71" s="176"/>
      <c r="I71">
        <f>I70/0.04</f>
        <v>3074.3</v>
      </c>
    </row>
    <row r="72" spans="1:9" ht="15.75" customHeight="1" thickTop="1" x14ac:dyDescent="0.25">
      <c r="A72" s="392" t="s">
        <v>155</v>
      </c>
      <c r="B72" s="393"/>
      <c r="C72" s="393"/>
      <c r="D72" s="393"/>
      <c r="E72" s="393"/>
      <c r="F72" s="393"/>
      <c r="G72" s="394"/>
      <c r="H72" s="407" t="s">
        <v>154</v>
      </c>
    </row>
    <row r="73" spans="1:9" ht="15.75" thickBot="1" x14ac:dyDescent="0.3">
      <c r="A73" s="395"/>
      <c r="B73" s="396"/>
      <c r="C73" s="396"/>
      <c r="D73" s="396"/>
      <c r="E73" s="396"/>
      <c r="F73" s="396"/>
      <c r="G73" s="397"/>
      <c r="H73" s="408"/>
    </row>
    <row r="74" spans="1:9" ht="20.25" customHeight="1" thickTop="1" x14ac:dyDescent="0.25">
      <c r="A74" s="180" t="s">
        <v>102</v>
      </c>
      <c r="B74" s="387" t="s">
        <v>123</v>
      </c>
      <c r="C74" s="387"/>
      <c r="D74" s="181" t="s">
        <v>126</v>
      </c>
      <c r="E74" s="387" t="s">
        <v>124</v>
      </c>
      <c r="F74" s="387"/>
      <c r="G74" s="182" t="s">
        <v>127</v>
      </c>
      <c r="H74" s="183"/>
    </row>
    <row r="75" spans="1:9" ht="20.25" customHeight="1" x14ac:dyDescent="0.25">
      <c r="A75" s="119">
        <v>1</v>
      </c>
      <c r="B75" s="409" t="s">
        <v>109</v>
      </c>
      <c r="C75" s="409"/>
      <c r="D75" s="159" t="s">
        <v>105</v>
      </c>
      <c r="E75" s="410"/>
      <c r="F75" s="410"/>
      <c r="G75" s="150"/>
      <c r="H75" s="184">
        <f>G65+G75</f>
        <v>3166.3500000000004</v>
      </c>
    </row>
    <row r="76" spans="1:9" ht="20.25" customHeight="1" x14ac:dyDescent="0.25">
      <c r="A76" s="123">
        <v>2</v>
      </c>
      <c r="B76" s="398" t="s">
        <v>112</v>
      </c>
      <c r="C76" s="398"/>
      <c r="D76" s="163" t="s">
        <v>116</v>
      </c>
      <c r="E76" s="400"/>
      <c r="F76" s="400"/>
      <c r="G76" s="151">
        <f>0</f>
        <v>0</v>
      </c>
      <c r="H76" s="184">
        <f t="shared" ref="H76:H80" si="1">G66+G76</f>
        <v>307.43</v>
      </c>
    </row>
    <row r="77" spans="1:9" ht="20.25" customHeight="1" x14ac:dyDescent="0.25">
      <c r="A77" s="119">
        <v>3</v>
      </c>
      <c r="B77" s="409" t="s">
        <v>117</v>
      </c>
      <c r="C77" s="409"/>
      <c r="D77" s="159" t="s">
        <v>115</v>
      </c>
      <c r="E77" s="413"/>
      <c r="F77" s="413"/>
      <c r="G77" s="150">
        <f>G76*E77</f>
        <v>0</v>
      </c>
      <c r="H77" s="184" t="e">
        <f t="shared" si="1"/>
        <v>#REF!</v>
      </c>
    </row>
    <row r="78" spans="1:9" ht="20.25" customHeight="1" x14ac:dyDescent="0.25">
      <c r="A78" s="119">
        <v>4</v>
      </c>
      <c r="B78" s="409" t="s">
        <v>118</v>
      </c>
      <c r="C78" s="409"/>
      <c r="D78" s="159" t="s">
        <v>119</v>
      </c>
      <c r="E78" s="425"/>
      <c r="F78" s="425"/>
      <c r="G78" s="150">
        <f>13*E78</f>
        <v>0</v>
      </c>
      <c r="H78" s="184">
        <f t="shared" si="1"/>
        <v>481</v>
      </c>
    </row>
    <row r="79" spans="1:9" ht="20.25" customHeight="1" x14ac:dyDescent="0.25">
      <c r="A79" s="119">
        <v>5</v>
      </c>
      <c r="B79" s="409" t="s">
        <v>121</v>
      </c>
      <c r="C79" s="409"/>
      <c r="D79" s="159" t="s">
        <v>120</v>
      </c>
      <c r="E79" s="411"/>
      <c r="F79" s="411"/>
      <c r="G79" s="150">
        <f>G78*E79</f>
        <v>0</v>
      </c>
      <c r="H79" s="184" t="e">
        <f t="shared" si="1"/>
        <v>#REF!</v>
      </c>
    </row>
    <row r="80" spans="1:9" ht="20.25" customHeight="1" thickBot="1" x14ac:dyDescent="0.3">
      <c r="A80" s="120">
        <v>6</v>
      </c>
      <c r="B80" s="412" t="s">
        <v>110</v>
      </c>
      <c r="C80" s="412"/>
      <c r="D80" s="164" t="s">
        <v>105</v>
      </c>
      <c r="E80" s="423"/>
      <c r="F80" s="424"/>
      <c r="G80" s="152">
        <f>0</f>
        <v>0</v>
      </c>
      <c r="H80" s="185">
        <f t="shared" si="1"/>
        <v>3166.3500000000004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6" zoomScaleSheetLayoutView="100"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57" t="s">
        <v>111</v>
      </c>
      <c r="B1" s="358"/>
      <c r="C1" s="358"/>
      <c r="D1" s="358"/>
      <c r="E1" s="358"/>
      <c r="F1" s="358"/>
      <c r="G1" s="358"/>
      <c r="H1" s="359"/>
    </row>
    <row r="2" spans="1:8" x14ac:dyDescent="0.25">
      <c r="A2" s="360"/>
      <c r="B2" s="361"/>
      <c r="C2" s="361"/>
      <c r="D2" s="361"/>
      <c r="E2" s="361"/>
      <c r="F2" s="361"/>
      <c r="G2" s="361"/>
      <c r="H2" s="362"/>
    </row>
    <row r="3" spans="1:8" x14ac:dyDescent="0.25">
      <c r="A3" s="360"/>
      <c r="B3" s="361"/>
      <c r="C3" s="361"/>
      <c r="D3" s="361"/>
      <c r="E3" s="361"/>
      <c r="F3" s="361"/>
      <c r="G3" s="361"/>
      <c r="H3" s="362"/>
    </row>
    <row r="4" spans="1:8" ht="15.75" thickBot="1" x14ac:dyDescent="0.3">
      <c r="A4" s="363"/>
      <c r="B4" s="364"/>
      <c r="C4" s="364"/>
      <c r="D4" s="364"/>
      <c r="E4" s="364"/>
      <c r="F4" s="364"/>
      <c r="G4" s="364"/>
      <c r="H4" s="365"/>
    </row>
    <row r="5" spans="1:8" ht="18.75" customHeight="1" thickTop="1" thickBot="1" x14ac:dyDescent="0.35">
      <c r="A5" s="366">
        <v>43042</v>
      </c>
      <c r="B5" s="367"/>
      <c r="C5" s="367"/>
      <c r="D5" s="367"/>
      <c r="E5" s="367"/>
      <c r="F5" s="367"/>
      <c r="G5" s="368"/>
      <c r="H5" s="178"/>
    </row>
    <row r="6" spans="1:8" ht="15.75" customHeight="1" thickTop="1" x14ac:dyDescent="0.25">
      <c r="A6" s="113" t="s">
        <v>90</v>
      </c>
      <c r="B6" s="111" t="s">
        <v>103</v>
      </c>
      <c r="C6" s="111" t="s">
        <v>104</v>
      </c>
      <c r="D6" s="111" t="s">
        <v>105</v>
      </c>
      <c r="E6" s="111" t="s">
        <v>108</v>
      </c>
      <c r="F6" s="173" t="s">
        <v>107</v>
      </c>
      <c r="G6" s="127" t="s">
        <v>122</v>
      </c>
      <c r="H6" s="178"/>
    </row>
    <row r="7" spans="1:8" ht="15" customHeight="1" x14ac:dyDescent="0.25">
      <c r="A7" s="124"/>
      <c r="B7" s="108">
        <v>3.7</v>
      </c>
      <c r="C7" s="108">
        <v>7</v>
      </c>
      <c r="D7" s="155">
        <f t="shared" ref="D7:D14" si="0">C7*B7</f>
        <v>25.900000000000002</v>
      </c>
      <c r="E7" s="155" t="s">
        <v>145</v>
      </c>
      <c r="F7" s="155" t="s">
        <v>163</v>
      </c>
      <c r="G7" s="369">
        <f>SUM(D7:D32)</f>
        <v>384.96000000000004</v>
      </c>
      <c r="H7" s="178"/>
    </row>
    <row r="8" spans="1:8" ht="15" customHeight="1" x14ac:dyDescent="0.25">
      <c r="A8" s="125"/>
      <c r="B8" s="108">
        <v>3.7</v>
      </c>
      <c r="C8" s="108">
        <v>7</v>
      </c>
      <c r="D8" s="155">
        <f t="shared" si="0"/>
        <v>25.900000000000002</v>
      </c>
      <c r="E8" s="155" t="s">
        <v>145</v>
      </c>
      <c r="F8" s="155" t="s">
        <v>163</v>
      </c>
      <c r="G8" s="370"/>
      <c r="H8" s="178"/>
    </row>
    <row r="9" spans="1:8" ht="15" customHeight="1" x14ac:dyDescent="0.25">
      <c r="A9" s="125"/>
      <c r="B9" s="108">
        <v>6</v>
      </c>
      <c r="C9" s="108">
        <v>8</v>
      </c>
      <c r="D9" s="155">
        <f t="shared" si="0"/>
        <v>48</v>
      </c>
      <c r="E9" s="155" t="s">
        <v>160</v>
      </c>
      <c r="F9" s="155" t="s">
        <v>162</v>
      </c>
      <c r="G9" s="370"/>
      <c r="H9" s="178"/>
    </row>
    <row r="10" spans="1:8" ht="15" customHeight="1" x14ac:dyDescent="0.25">
      <c r="A10" s="125"/>
      <c r="B10" s="108">
        <v>3.8</v>
      </c>
      <c r="C10" s="108">
        <v>7.2</v>
      </c>
      <c r="D10" s="155">
        <f t="shared" si="0"/>
        <v>27.36</v>
      </c>
      <c r="E10" s="155" t="s">
        <v>161</v>
      </c>
      <c r="F10" s="155" t="s">
        <v>157</v>
      </c>
      <c r="G10" s="370"/>
      <c r="H10" s="178"/>
    </row>
    <row r="11" spans="1:8" ht="15" customHeight="1" x14ac:dyDescent="0.25">
      <c r="A11" s="125"/>
      <c r="B11" s="108">
        <v>7</v>
      </c>
      <c r="C11" s="108">
        <v>9.5</v>
      </c>
      <c r="D11" s="155">
        <f t="shared" si="0"/>
        <v>66.5</v>
      </c>
      <c r="E11" s="155" t="s">
        <v>161</v>
      </c>
      <c r="F11" s="155" t="s">
        <v>157</v>
      </c>
      <c r="G11" s="370"/>
      <c r="H11" s="178"/>
    </row>
    <row r="12" spans="1:8" ht="15" customHeight="1" x14ac:dyDescent="0.25">
      <c r="A12" s="125"/>
      <c r="B12" s="108">
        <v>4</v>
      </c>
      <c r="C12" s="108">
        <v>17</v>
      </c>
      <c r="D12" s="155">
        <f t="shared" si="0"/>
        <v>68</v>
      </c>
      <c r="E12" s="155" t="s">
        <v>161</v>
      </c>
      <c r="F12" s="155" t="s">
        <v>157</v>
      </c>
      <c r="G12" s="370"/>
      <c r="H12" s="178"/>
    </row>
    <row r="13" spans="1:8" ht="15" customHeight="1" x14ac:dyDescent="0.25">
      <c r="A13" s="125"/>
      <c r="B13" s="108">
        <v>4</v>
      </c>
      <c r="C13" s="108">
        <v>10.199999999999999</v>
      </c>
      <c r="D13" s="155">
        <f t="shared" si="0"/>
        <v>40.799999999999997</v>
      </c>
      <c r="E13" s="155" t="s">
        <v>161</v>
      </c>
      <c r="F13" s="155" t="s">
        <v>157</v>
      </c>
      <c r="G13" s="370"/>
      <c r="H13" s="126"/>
    </row>
    <row r="14" spans="1:8" ht="15" customHeight="1" x14ac:dyDescent="0.25">
      <c r="A14" s="125"/>
      <c r="B14" s="108">
        <v>2.5</v>
      </c>
      <c r="C14" s="108">
        <v>33</v>
      </c>
      <c r="D14" s="155">
        <f t="shared" si="0"/>
        <v>82.5</v>
      </c>
      <c r="E14" s="155" t="s">
        <v>161</v>
      </c>
      <c r="F14" s="155" t="s">
        <v>157</v>
      </c>
      <c r="G14" s="370"/>
      <c r="H14" s="126"/>
    </row>
    <row r="15" spans="1:8" ht="15" customHeight="1" x14ac:dyDescent="0.25">
      <c r="A15" s="125"/>
      <c r="B15" s="108"/>
      <c r="C15" s="108"/>
      <c r="D15" s="155"/>
      <c r="E15" s="109"/>
      <c r="F15" s="155"/>
      <c r="G15" s="370"/>
      <c r="H15" s="126"/>
    </row>
    <row r="16" spans="1:8" ht="15" customHeight="1" x14ac:dyDescent="0.25">
      <c r="A16" s="125"/>
      <c r="B16" s="108"/>
      <c r="C16" s="108"/>
      <c r="D16" s="155"/>
      <c r="E16" s="109"/>
      <c r="F16" s="155"/>
      <c r="G16" s="370"/>
      <c r="H16" s="126"/>
    </row>
    <row r="17" spans="1:8" ht="15" customHeight="1" x14ac:dyDescent="0.25">
      <c r="A17" s="125"/>
      <c r="B17" s="108"/>
      <c r="C17" s="108"/>
      <c r="D17" s="155"/>
      <c r="E17" s="109"/>
      <c r="F17" s="155"/>
      <c r="G17" s="370"/>
      <c r="H17" s="126"/>
    </row>
    <row r="18" spans="1:8" ht="15" customHeight="1" x14ac:dyDescent="0.25">
      <c r="A18" s="125"/>
      <c r="B18" s="108"/>
      <c r="C18" s="108"/>
      <c r="D18" s="155"/>
      <c r="E18" s="109"/>
      <c r="F18" s="155"/>
      <c r="G18" s="370"/>
      <c r="H18" s="126"/>
    </row>
    <row r="19" spans="1:8" ht="15" customHeight="1" x14ac:dyDescent="0.25">
      <c r="A19" s="125"/>
      <c r="B19" s="108"/>
      <c r="C19" s="108"/>
      <c r="D19" s="155"/>
      <c r="E19" s="109"/>
      <c r="F19" s="155"/>
      <c r="G19" s="370"/>
      <c r="H19" s="126"/>
    </row>
    <row r="20" spans="1:8" ht="15" customHeight="1" x14ac:dyDescent="0.25">
      <c r="A20" s="125"/>
      <c r="B20" s="108"/>
      <c r="C20" s="108"/>
      <c r="D20" s="155"/>
      <c r="E20" s="109"/>
      <c r="F20" s="155"/>
      <c r="G20" s="370"/>
      <c r="H20" s="126"/>
    </row>
    <row r="21" spans="1:8" ht="15" customHeight="1" x14ac:dyDescent="0.25">
      <c r="A21" s="125"/>
      <c r="B21" s="108"/>
      <c r="C21" s="108"/>
      <c r="D21" s="155"/>
      <c r="E21" s="109"/>
      <c r="F21" s="155"/>
      <c r="G21" s="370"/>
      <c r="H21" s="126"/>
    </row>
    <row r="22" spans="1:8" ht="15" customHeight="1" x14ac:dyDescent="0.25">
      <c r="A22" s="125"/>
      <c r="B22" s="108"/>
      <c r="C22" s="108"/>
      <c r="D22" s="155"/>
      <c r="E22" s="109"/>
      <c r="F22" s="155"/>
      <c r="G22" s="370"/>
      <c r="H22" s="126"/>
    </row>
    <row r="23" spans="1:8" ht="15" customHeight="1" x14ac:dyDescent="0.25">
      <c r="A23" s="125"/>
      <c r="B23" s="108"/>
      <c r="C23" s="108"/>
      <c r="D23" s="155"/>
      <c r="E23" s="109"/>
      <c r="F23" s="155"/>
      <c r="G23" s="370"/>
      <c r="H23" s="126"/>
    </row>
    <row r="24" spans="1:8" ht="15" customHeight="1" x14ac:dyDescent="0.25">
      <c r="A24" s="125"/>
      <c r="B24" s="108"/>
      <c r="C24" s="108"/>
      <c r="D24" s="155"/>
      <c r="E24" s="109"/>
      <c r="F24" s="155"/>
      <c r="G24" s="370"/>
      <c r="H24" s="126"/>
    </row>
    <row r="25" spans="1:8" ht="15" customHeight="1" x14ac:dyDescent="0.25">
      <c r="A25" s="125"/>
      <c r="B25" s="108"/>
      <c r="C25" s="108"/>
      <c r="D25" s="155"/>
      <c r="E25" s="109"/>
      <c r="F25" s="155"/>
      <c r="G25" s="370"/>
      <c r="H25" s="126"/>
    </row>
    <row r="26" spans="1:8" ht="15" customHeight="1" x14ac:dyDescent="0.25">
      <c r="A26" s="125"/>
      <c r="B26" s="108"/>
      <c r="C26" s="108"/>
      <c r="D26" s="155"/>
      <c r="E26" s="109"/>
      <c r="F26" s="155"/>
      <c r="G26" s="370"/>
      <c r="H26" s="126"/>
    </row>
    <row r="27" spans="1:8" ht="15" customHeight="1" x14ac:dyDescent="0.25">
      <c r="A27" s="125"/>
      <c r="B27" s="108"/>
      <c r="C27" s="108"/>
      <c r="D27" s="155"/>
      <c r="E27" s="109"/>
      <c r="F27" s="155"/>
      <c r="G27" s="370"/>
      <c r="H27" s="126"/>
    </row>
    <row r="28" spans="1:8" ht="15" customHeight="1" x14ac:dyDescent="0.25">
      <c r="A28" s="125"/>
      <c r="B28" s="108"/>
      <c r="C28" s="108"/>
      <c r="D28" s="155"/>
      <c r="E28" s="109"/>
      <c r="F28" s="155"/>
      <c r="G28" s="370"/>
      <c r="H28" s="126"/>
    </row>
    <row r="29" spans="1:8" ht="15" customHeight="1" x14ac:dyDescent="0.25">
      <c r="A29" s="125"/>
      <c r="B29" s="108"/>
      <c r="C29" s="108"/>
      <c r="D29" s="155"/>
      <c r="E29" s="109"/>
      <c r="F29" s="155"/>
      <c r="G29" s="370"/>
      <c r="H29" s="126"/>
    </row>
    <row r="30" spans="1:8" ht="15" customHeight="1" x14ac:dyDescent="0.25">
      <c r="A30" s="125"/>
      <c r="B30" s="108"/>
      <c r="C30" s="108"/>
      <c r="D30" s="155"/>
      <c r="E30" s="109"/>
      <c r="F30" s="155"/>
      <c r="G30" s="370"/>
      <c r="H30" s="126"/>
    </row>
    <row r="31" spans="1:8" ht="15" customHeight="1" x14ac:dyDescent="0.25">
      <c r="A31" s="125"/>
      <c r="B31" s="108"/>
      <c r="C31" s="108"/>
      <c r="D31" s="155"/>
      <c r="E31" s="109"/>
      <c r="F31" s="155"/>
      <c r="G31" s="370"/>
      <c r="H31" s="126"/>
    </row>
    <row r="32" spans="1:8" ht="15" customHeight="1" x14ac:dyDescent="0.25">
      <c r="A32" s="125"/>
      <c r="B32" s="108"/>
      <c r="C32" s="108"/>
      <c r="D32" s="155"/>
      <c r="E32" s="109"/>
      <c r="F32" s="155"/>
      <c r="G32" s="370"/>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71" t="s">
        <v>128</v>
      </c>
    </row>
    <row r="40" spans="1:8" ht="15" customHeight="1" thickBot="1" x14ac:dyDescent="0.3">
      <c r="A40" s="157"/>
      <c r="B40" s="143"/>
      <c r="C40" s="143"/>
      <c r="D40" s="144"/>
      <c r="E40" s="145"/>
      <c r="F40" s="130"/>
      <c r="G40" s="174"/>
      <c r="H40" s="372"/>
    </row>
    <row r="41" spans="1:8" ht="15" customHeight="1" thickTop="1" x14ac:dyDescent="0.25">
      <c r="A41" s="156"/>
      <c r="B41" s="146"/>
      <c r="C41" s="146"/>
      <c r="D41" s="147"/>
      <c r="E41" s="148"/>
      <c r="F41" s="149"/>
      <c r="G41" s="373">
        <f>SUM(D41:D42)</f>
        <v>0</v>
      </c>
      <c r="H41" s="375">
        <f>SUM(G7:G40)</f>
        <v>384.96000000000004</v>
      </c>
    </row>
    <row r="42" spans="1:8" ht="15" customHeight="1" thickBot="1" x14ac:dyDescent="0.3">
      <c r="A42" s="118"/>
      <c r="B42" s="114"/>
      <c r="C42" s="114"/>
      <c r="D42" s="168"/>
      <c r="E42" s="115"/>
      <c r="F42" s="122"/>
      <c r="G42" s="374"/>
      <c r="H42" s="376"/>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77" t="str">
        <f>"QUANTIDADES RUA OPERAÇÃO TAPA BURACO NA "&amp;UPPER(E10)</f>
        <v>QUANTIDADES RUA OPERAÇÃO TAPA BURACO NA RUA AUGUSTINHO ANDREY</v>
      </c>
      <c r="B45" s="378"/>
      <c r="C45" s="378"/>
      <c r="D45" s="378"/>
      <c r="E45" s="378"/>
      <c r="F45" s="379"/>
      <c r="G45" s="377" t="s">
        <v>136</v>
      </c>
      <c r="H45" s="379"/>
    </row>
    <row r="46" spans="1:8" ht="15.75" customHeight="1" thickBot="1" x14ac:dyDescent="0.3">
      <c r="A46" s="380"/>
      <c r="B46" s="381"/>
      <c r="C46" s="381"/>
      <c r="D46" s="381"/>
      <c r="E46" s="381"/>
      <c r="F46" s="382"/>
      <c r="G46" s="380"/>
      <c r="H46" s="382"/>
    </row>
    <row r="47" spans="1:8" ht="15" customHeight="1" thickTop="1" x14ac:dyDescent="0.25">
      <c r="A47" s="131" t="s">
        <v>102</v>
      </c>
      <c r="B47" s="383" t="s">
        <v>32</v>
      </c>
      <c r="C47" s="384"/>
      <c r="D47" s="132" t="s">
        <v>35</v>
      </c>
      <c r="E47" s="132" t="s">
        <v>124</v>
      </c>
      <c r="F47" s="133" t="s">
        <v>125</v>
      </c>
      <c r="G47" s="156"/>
      <c r="H47" s="179"/>
    </row>
    <row r="48" spans="1:8" ht="15.75" customHeight="1" x14ac:dyDescent="0.25">
      <c r="A48" s="134">
        <v>1</v>
      </c>
      <c r="B48" s="353" t="s">
        <v>106</v>
      </c>
      <c r="C48" s="354"/>
      <c r="D48" s="171" t="s">
        <v>105</v>
      </c>
      <c r="E48" s="135"/>
      <c r="F48" s="136">
        <f>G7</f>
        <v>384.96000000000004</v>
      </c>
      <c r="G48" s="385" t="s">
        <v>112</v>
      </c>
      <c r="H48" s="386"/>
    </row>
    <row r="49" spans="1:8" x14ac:dyDescent="0.25">
      <c r="A49" s="134">
        <v>2</v>
      </c>
      <c r="B49" s="353" t="s">
        <v>112</v>
      </c>
      <c r="C49" s="354"/>
      <c r="D49" s="171" t="s">
        <v>114</v>
      </c>
      <c r="E49" s="186" t="s">
        <v>164</v>
      </c>
      <c r="F49" s="136">
        <f>(23.3)</f>
        <v>23.3</v>
      </c>
      <c r="G49" s="355">
        <f>F49+F57</f>
        <v>23.3</v>
      </c>
      <c r="H49" s="356"/>
    </row>
    <row r="50" spans="1:8" ht="15.75" customHeight="1" x14ac:dyDescent="0.25">
      <c r="A50" s="134">
        <v>3</v>
      </c>
      <c r="B50" s="353" t="s">
        <v>113</v>
      </c>
      <c r="C50" s="354"/>
      <c r="D50" s="171" t="s">
        <v>115</v>
      </c>
      <c r="E50" s="138" t="e">
        <f>#REF!</f>
        <v>#REF!</v>
      </c>
      <c r="F50" s="136" t="e">
        <f>F49*E50</f>
        <v>#REF!</v>
      </c>
      <c r="G50" s="385" t="s">
        <v>137</v>
      </c>
      <c r="H50" s="386"/>
    </row>
    <row r="51" spans="1:8" ht="15" customHeight="1" thickBot="1" x14ac:dyDescent="0.3">
      <c r="A51" s="139">
        <v>4</v>
      </c>
      <c r="B51" s="388" t="s">
        <v>110</v>
      </c>
      <c r="C51" s="389"/>
      <c r="D51" s="172" t="s">
        <v>105</v>
      </c>
      <c r="E51" s="140"/>
      <c r="F51" s="141">
        <f>F48</f>
        <v>384.96000000000004</v>
      </c>
      <c r="G51" s="390" t="e">
        <f>F50+F58</f>
        <v>#REF!</v>
      </c>
      <c r="H51" s="391"/>
    </row>
    <row r="52" spans="1:8" ht="15" customHeight="1" thickTop="1" thickBot="1" x14ac:dyDescent="0.3">
      <c r="A52" s="157"/>
      <c r="B52" s="112"/>
      <c r="C52" s="112"/>
      <c r="D52" s="110"/>
      <c r="E52" s="107"/>
      <c r="F52" s="110"/>
      <c r="G52" s="166"/>
      <c r="H52" s="176"/>
    </row>
    <row r="53" spans="1:8" ht="15" customHeight="1" thickTop="1" x14ac:dyDescent="0.25">
      <c r="A53" s="392"/>
      <c r="B53" s="393"/>
      <c r="C53" s="393"/>
      <c r="D53" s="393"/>
      <c r="E53" s="393"/>
      <c r="F53" s="394"/>
      <c r="G53" s="110"/>
      <c r="H53" s="176"/>
    </row>
    <row r="54" spans="1:8" ht="15.75" customHeight="1" thickBot="1" x14ac:dyDescent="0.3">
      <c r="A54" s="395"/>
      <c r="B54" s="396"/>
      <c r="C54" s="396"/>
      <c r="D54" s="396"/>
      <c r="E54" s="396"/>
      <c r="F54" s="397"/>
      <c r="G54" s="110"/>
      <c r="H54" s="176"/>
    </row>
    <row r="55" spans="1:8" ht="15" customHeight="1" thickTop="1" x14ac:dyDescent="0.25">
      <c r="A55" s="131" t="s">
        <v>102</v>
      </c>
      <c r="B55" s="383" t="s">
        <v>32</v>
      </c>
      <c r="C55" s="384"/>
      <c r="D55" s="132" t="s">
        <v>35</v>
      </c>
      <c r="E55" s="132" t="s">
        <v>124</v>
      </c>
      <c r="F55" s="133" t="s">
        <v>125</v>
      </c>
      <c r="G55" s="166"/>
      <c r="H55" s="175"/>
    </row>
    <row r="56" spans="1:8" ht="15.75" customHeight="1" x14ac:dyDescent="0.25">
      <c r="A56" s="134">
        <v>1</v>
      </c>
      <c r="B56" s="353" t="s">
        <v>106</v>
      </c>
      <c r="C56" s="354"/>
      <c r="D56" s="171" t="s">
        <v>105</v>
      </c>
      <c r="E56" s="135"/>
      <c r="F56" s="136">
        <f>G15</f>
        <v>0</v>
      </c>
      <c r="G56" s="166"/>
      <c r="H56" s="175"/>
    </row>
    <row r="57" spans="1:8" x14ac:dyDescent="0.25">
      <c r="A57" s="134">
        <v>2</v>
      </c>
      <c r="B57" s="353" t="s">
        <v>112</v>
      </c>
      <c r="C57" s="354"/>
      <c r="D57" s="171" t="s">
        <v>114</v>
      </c>
      <c r="E57" s="186"/>
      <c r="F57" s="136">
        <f>E57</f>
        <v>0</v>
      </c>
      <c r="G57" s="166"/>
      <c r="H57" s="175"/>
    </row>
    <row r="58" spans="1:8" ht="15.75" customHeight="1" x14ac:dyDescent="0.25">
      <c r="A58" s="134">
        <v>3</v>
      </c>
      <c r="B58" s="353" t="s">
        <v>113</v>
      </c>
      <c r="C58" s="354"/>
      <c r="D58" s="171" t="s">
        <v>115</v>
      </c>
      <c r="E58" s="138"/>
      <c r="F58" s="136">
        <f>F57*E58</f>
        <v>0</v>
      </c>
      <c r="G58" s="166"/>
      <c r="H58" s="176"/>
    </row>
    <row r="59" spans="1:8" ht="15" customHeight="1" thickBot="1" x14ac:dyDescent="0.3">
      <c r="A59" s="139">
        <v>4</v>
      </c>
      <c r="B59" s="388" t="s">
        <v>110</v>
      </c>
      <c r="C59" s="389"/>
      <c r="D59" s="172" t="s">
        <v>105</v>
      </c>
      <c r="E59" s="140"/>
      <c r="F59" s="141">
        <f>F56</f>
        <v>0</v>
      </c>
      <c r="G59" s="166"/>
      <c r="H59" s="176"/>
    </row>
    <row r="60" spans="1:8" ht="15" customHeight="1" thickTop="1" x14ac:dyDescent="0.25">
      <c r="A60" s="157"/>
      <c r="B60" s="112"/>
      <c r="C60" s="112"/>
      <c r="D60" s="110"/>
      <c r="E60" s="107"/>
      <c r="F60" s="110"/>
      <c r="G60" s="166"/>
      <c r="H60" s="176"/>
    </row>
    <row r="61" spans="1:8" ht="15" customHeight="1" thickBot="1" x14ac:dyDescent="0.3">
      <c r="A61" s="129"/>
      <c r="B61" s="110"/>
      <c r="C61" s="110"/>
      <c r="D61" s="110"/>
      <c r="E61" s="107"/>
      <c r="F61" s="110"/>
      <c r="G61" s="110"/>
      <c r="H61" s="175"/>
    </row>
    <row r="62" spans="1:8" ht="15.75" customHeight="1" thickTop="1" x14ac:dyDescent="0.25">
      <c r="A62" s="392" t="s">
        <v>167</v>
      </c>
      <c r="B62" s="393"/>
      <c r="C62" s="393"/>
      <c r="D62" s="393"/>
      <c r="E62" s="393"/>
      <c r="F62" s="393"/>
      <c r="G62" s="394"/>
      <c r="H62" s="175"/>
    </row>
    <row r="63" spans="1:8" ht="15.75" thickBot="1" x14ac:dyDescent="0.3">
      <c r="A63" s="395"/>
      <c r="B63" s="396"/>
      <c r="C63" s="396"/>
      <c r="D63" s="396"/>
      <c r="E63" s="396"/>
      <c r="F63" s="396"/>
      <c r="G63" s="397"/>
      <c r="H63" s="175"/>
    </row>
    <row r="64" spans="1:8" ht="20.25" customHeight="1" thickTop="1" x14ac:dyDescent="0.25">
      <c r="A64" s="180" t="s">
        <v>102</v>
      </c>
      <c r="B64" s="387" t="s">
        <v>123</v>
      </c>
      <c r="C64" s="387"/>
      <c r="D64" s="181" t="s">
        <v>126</v>
      </c>
      <c r="E64" s="387" t="s">
        <v>124</v>
      </c>
      <c r="F64" s="387"/>
      <c r="G64" s="182" t="s">
        <v>127</v>
      </c>
      <c r="H64" s="175"/>
    </row>
    <row r="65" spans="1:9" ht="20.25" customHeight="1" x14ac:dyDescent="0.25">
      <c r="A65" s="119">
        <v>1</v>
      </c>
      <c r="B65" s="398" t="s">
        <v>109</v>
      </c>
      <c r="C65" s="398"/>
      <c r="D65" s="170" t="s">
        <v>105</v>
      </c>
      <c r="E65" s="399" t="s">
        <v>165</v>
      </c>
      <c r="F65" s="399"/>
      <c r="G65" s="151"/>
      <c r="H65" s="175"/>
    </row>
    <row r="66" spans="1:9" ht="27" customHeight="1" x14ac:dyDescent="0.25">
      <c r="A66" s="123">
        <v>2</v>
      </c>
      <c r="B66" s="398" t="s">
        <v>112</v>
      </c>
      <c r="C66" s="398"/>
      <c r="D66" s="170" t="s">
        <v>116</v>
      </c>
      <c r="E66" s="400" t="s">
        <v>166</v>
      </c>
      <c r="F66" s="400"/>
      <c r="G66" s="151">
        <f>24.6+21.31+21.56+21.48+20.63+20.9+21.31+12.74+22.97+20.86+21.72+20.36+20.96+21.16</f>
        <v>292.56</v>
      </c>
      <c r="H66" s="175"/>
    </row>
    <row r="67" spans="1:9" ht="20.25" customHeight="1" x14ac:dyDescent="0.25">
      <c r="A67" s="119">
        <v>3</v>
      </c>
      <c r="B67" s="398" t="s">
        <v>117</v>
      </c>
      <c r="C67" s="398"/>
      <c r="D67" s="170" t="s">
        <v>115</v>
      </c>
      <c r="E67" s="401" t="e">
        <f>#REF!</f>
        <v>#REF!</v>
      </c>
      <c r="F67" s="401"/>
      <c r="G67" s="151" t="e">
        <f>G66*E67</f>
        <v>#REF!</v>
      </c>
      <c r="H67" s="175"/>
    </row>
    <row r="68" spans="1:9" ht="20.25" customHeight="1" x14ac:dyDescent="0.25">
      <c r="A68" s="119">
        <v>4</v>
      </c>
      <c r="B68" s="398" t="s">
        <v>118</v>
      </c>
      <c r="C68" s="398"/>
      <c r="D68" s="170" t="s">
        <v>119</v>
      </c>
      <c r="E68" s="402">
        <f>TRUNC(((G65*0.08)*1.8)/12,0)</f>
        <v>0</v>
      </c>
      <c r="F68" s="402"/>
      <c r="G68" s="151">
        <f>13*E68</f>
        <v>0</v>
      </c>
      <c r="H68" s="175"/>
    </row>
    <row r="69" spans="1:9" ht="20.25" customHeight="1" x14ac:dyDescent="0.25">
      <c r="A69" s="119">
        <v>5</v>
      </c>
      <c r="B69" s="398" t="s">
        <v>121</v>
      </c>
      <c r="C69" s="398"/>
      <c r="D69" s="170" t="s">
        <v>120</v>
      </c>
      <c r="E69" s="403" t="e">
        <f>#REF!</f>
        <v>#REF!</v>
      </c>
      <c r="F69" s="403"/>
      <c r="G69" s="151" t="e">
        <f>G68*E69</f>
        <v>#REF!</v>
      </c>
      <c r="H69" s="175"/>
    </row>
    <row r="70" spans="1:9" ht="20.25" customHeight="1" thickBot="1" x14ac:dyDescent="0.3">
      <c r="A70" s="120">
        <v>6</v>
      </c>
      <c r="B70" s="404" t="s">
        <v>110</v>
      </c>
      <c r="C70" s="404"/>
      <c r="D70" s="188" t="s">
        <v>105</v>
      </c>
      <c r="E70" s="405" t="s">
        <v>168</v>
      </c>
      <c r="F70" s="406"/>
      <c r="G70" s="189">
        <f>213*7.7+170*3.15</f>
        <v>2175.6000000000004</v>
      </c>
      <c r="H70" s="175"/>
      <c r="I70">
        <f>G66/2.5</f>
        <v>117.024</v>
      </c>
    </row>
    <row r="71" spans="1:9" ht="16.5" thickTop="1" thickBot="1" x14ac:dyDescent="0.3">
      <c r="A71" s="129"/>
      <c r="B71" s="110"/>
      <c r="C71" s="110"/>
      <c r="D71" s="110"/>
      <c r="E71" s="107"/>
      <c r="F71" s="110"/>
      <c r="G71" s="110"/>
      <c r="H71" s="176"/>
      <c r="I71">
        <f>I70/0.04</f>
        <v>2925.6</v>
      </c>
    </row>
    <row r="72" spans="1:9" ht="15.75" customHeight="1" thickTop="1" x14ac:dyDescent="0.25">
      <c r="A72" s="392" t="s">
        <v>171</v>
      </c>
      <c r="B72" s="393"/>
      <c r="C72" s="393"/>
      <c r="D72" s="393"/>
      <c r="E72" s="393"/>
      <c r="F72" s="393"/>
      <c r="G72" s="394"/>
      <c r="H72" s="407" t="s">
        <v>154</v>
      </c>
    </row>
    <row r="73" spans="1:9" ht="15.75" thickBot="1" x14ac:dyDescent="0.3">
      <c r="A73" s="395"/>
      <c r="B73" s="396"/>
      <c r="C73" s="396"/>
      <c r="D73" s="396"/>
      <c r="E73" s="396"/>
      <c r="F73" s="396"/>
      <c r="G73" s="397"/>
      <c r="H73" s="408"/>
    </row>
    <row r="74" spans="1:9" ht="20.25" customHeight="1" thickTop="1" x14ac:dyDescent="0.25">
      <c r="A74" s="180" t="s">
        <v>102</v>
      </c>
      <c r="B74" s="387" t="s">
        <v>123</v>
      </c>
      <c r="C74" s="387"/>
      <c r="D74" s="181" t="s">
        <v>126</v>
      </c>
      <c r="E74" s="387" t="s">
        <v>124</v>
      </c>
      <c r="F74" s="387"/>
      <c r="G74" s="182" t="s">
        <v>127</v>
      </c>
      <c r="H74" s="183"/>
    </row>
    <row r="75" spans="1:9" ht="20.25" customHeight="1" x14ac:dyDescent="0.25">
      <c r="A75" s="119">
        <v>1</v>
      </c>
      <c r="B75" s="409" t="s">
        <v>109</v>
      </c>
      <c r="C75" s="409"/>
      <c r="D75" s="169" t="s">
        <v>105</v>
      </c>
      <c r="E75" s="410" t="s">
        <v>152</v>
      </c>
      <c r="F75" s="410"/>
      <c r="G75" s="150"/>
      <c r="H75" s="184">
        <f>G65+G75</f>
        <v>0</v>
      </c>
    </row>
    <row r="76" spans="1:9" ht="20.25" customHeight="1" x14ac:dyDescent="0.25">
      <c r="A76" s="123">
        <v>2</v>
      </c>
      <c r="B76" s="398" t="s">
        <v>112</v>
      </c>
      <c r="C76" s="398"/>
      <c r="D76" s="170" t="s">
        <v>116</v>
      </c>
      <c r="E76" s="400" t="s">
        <v>170</v>
      </c>
      <c r="F76" s="400"/>
      <c r="G76" s="151">
        <f>21.38+23.44+21.31+14.32+21.63+21.78+19.14</f>
        <v>143</v>
      </c>
      <c r="H76" s="184">
        <f t="shared" ref="H76:H80" si="1">G66+G76</f>
        <v>435.56</v>
      </c>
    </row>
    <row r="77" spans="1:9" ht="20.25" customHeight="1" x14ac:dyDescent="0.25">
      <c r="A77" s="119">
        <v>3</v>
      </c>
      <c r="B77" s="409" t="s">
        <v>117</v>
      </c>
      <c r="C77" s="409"/>
      <c r="D77" s="169" t="s">
        <v>115</v>
      </c>
      <c r="E77" s="413" t="e">
        <f>#REF!</f>
        <v>#REF!</v>
      </c>
      <c r="F77" s="413"/>
      <c r="G77" s="150" t="e">
        <f>G76*E77</f>
        <v>#REF!</v>
      </c>
      <c r="H77" s="184" t="e">
        <f t="shared" si="1"/>
        <v>#REF!</v>
      </c>
    </row>
    <row r="78" spans="1:9" ht="20.25" customHeight="1" x14ac:dyDescent="0.25">
      <c r="A78" s="119">
        <v>4</v>
      </c>
      <c r="B78" s="409" t="s">
        <v>118</v>
      </c>
      <c r="C78" s="409"/>
      <c r="D78" s="169" t="s">
        <v>119</v>
      </c>
      <c r="E78" s="425">
        <f>TRUNC(((G75*0.08)*1.8)/12,0)</f>
        <v>0</v>
      </c>
      <c r="F78" s="425"/>
      <c r="G78" s="150">
        <f>13*E78</f>
        <v>0</v>
      </c>
      <c r="H78" s="184">
        <f t="shared" si="1"/>
        <v>0</v>
      </c>
    </row>
    <row r="79" spans="1:9" ht="20.25" customHeight="1" x14ac:dyDescent="0.25">
      <c r="A79" s="119">
        <v>5</v>
      </c>
      <c r="B79" s="409" t="s">
        <v>121</v>
      </c>
      <c r="C79" s="409"/>
      <c r="D79" s="169" t="s">
        <v>120</v>
      </c>
      <c r="E79" s="411" t="e">
        <f>#REF!</f>
        <v>#REF!</v>
      </c>
      <c r="F79" s="411"/>
      <c r="G79" s="150" t="e">
        <f>G78*E79</f>
        <v>#REF!</v>
      </c>
      <c r="H79" s="184" t="e">
        <f t="shared" si="1"/>
        <v>#REF!</v>
      </c>
    </row>
    <row r="80" spans="1:9" ht="20.25" customHeight="1" thickBot="1" x14ac:dyDescent="0.3">
      <c r="A80" s="120">
        <v>6</v>
      </c>
      <c r="B80" s="412" t="s">
        <v>110</v>
      </c>
      <c r="C80" s="412"/>
      <c r="D80" s="167" t="s">
        <v>105</v>
      </c>
      <c r="E80" s="405" t="s">
        <v>169</v>
      </c>
      <c r="F80" s="406"/>
      <c r="G80" s="152">
        <f>218*8</f>
        <v>1744</v>
      </c>
      <c r="H80" s="185">
        <f t="shared" si="1"/>
        <v>3919.6000000000004</v>
      </c>
      <c r="I80">
        <f>G76/2.5</f>
        <v>57.2</v>
      </c>
    </row>
    <row r="81" spans="1:9" ht="15.75" thickTop="1" x14ac:dyDescent="0.25">
      <c r="A81" s="129"/>
      <c r="B81" s="110"/>
      <c r="C81" s="110"/>
      <c r="D81" s="110"/>
      <c r="E81" s="107"/>
      <c r="F81" s="110"/>
      <c r="G81" s="110"/>
      <c r="H81" s="176"/>
      <c r="I81">
        <f>I80/0.03</f>
        <v>1906.6666666666667</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 zoomScaleSheetLayoutView="100" workbookViewId="0">
      <selection activeCell="E10" sqref="E10:F10"/>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57" t="s">
        <v>111</v>
      </c>
      <c r="B1" s="358"/>
      <c r="C1" s="358"/>
      <c r="D1" s="358"/>
      <c r="E1" s="358"/>
      <c r="F1" s="358"/>
      <c r="G1" s="358"/>
      <c r="H1" s="359"/>
    </row>
    <row r="2" spans="1:8" x14ac:dyDescent="0.25">
      <c r="A2" s="360"/>
      <c r="B2" s="361"/>
      <c r="C2" s="361"/>
      <c r="D2" s="361"/>
      <c r="E2" s="361"/>
      <c r="F2" s="361"/>
      <c r="G2" s="361"/>
      <c r="H2" s="362"/>
    </row>
    <row r="3" spans="1:8" x14ac:dyDescent="0.25">
      <c r="A3" s="360"/>
      <c r="B3" s="361"/>
      <c r="C3" s="361"/>
      <c r="D3" s="361"/>
      <c r="E3" s="361"/>
      <c r="F3" s="361"/>
      <c r="G3" s="361"/>
      <c r="H3" s="362"/>
    </row>
    <row r="4" spans="1:8" ht="15.75" thickBot="1" x14ac:dyDescent="0.3">
      <c r="A4" s="363"/>
      <c r="B4" s="364"/>
      <c r="C4" s="364"/>
      <c r="D4" s="364"/>
      <c r="E4" s="364"/>
      <c r="F4" s="364"/>
      <c r="G4" s="364"/>
      <c r="H4" s="365"/>
    </row>
    <row r="5" spans="1:8" ht="18.75" customHeight="1" thickTop="1" thickBot="1" x14ac:dyDescent="0.35">
      <c r="A5" s="366">
        <v>43045</v>
      </c>
      <c r="B5" s="367"/>
      <c r="C5" s="367"/>
      <c r="D5" s="367"/>
      <c r="E5" s="367"/>
      <c r="F5" s="367"/>
      <c r="G5" s="368"/>
      <c r="H5" s="178"/>
    </row>
    <row r="6" spans="1:8" ht="15.75" customHeight="1" thickTop="1" x14ac:dyDescent="0.25">
      <c r="A6" s="113" t="s">
        <v>90</v>
      </c>
      <c r="B6" s="111" t="s">
        <v>103</v>
      </c>
      <c r="C6" s="111" t="s">
        <v>104</v>
      </c>
      <c r="D6" s="111" t="s">
        <v>105</v>
      </c>
      <c r="E6" s="111" t="s">
        <v>108</v>
      </c>
      <c r="F6" s="197" t="s">
        <v>107</v>
      </c>
      <c r="G6" s="127" t="s">
        <v>122</v>
      </c>
      <c r="H6" s="178"/>
    </row>
    <row r="7" spans="1:8" ht="15" customHeight="1" x14ac:dyDescent="0.25">
      <c r="A7" s="124"/>
      <c r="B7" s="108">
        <v>6</v>
      </c>
      <c r="C7" s="108">
        <v>1.2</v>
      </c>
      <c r="D7" s="155">
        <f t="shared" ref="D7:D22" si="0">C7*B7</f>
        <v>7.1999999999999993</v>
      </c>
      <c r="E7" s="155" t="s">
        <v>176</v>
      </c>
      <c r="F7" s="155" t="s">
        <v>177</v>
      </c>
      <c r="G7" s="369">
        <f>SUM(D7:D32)</f>
        <v>292.58000000000004</v>
      </c>
      <c r="H7" s="178"/>
    </row>
    <row r="8" spans="1:8" ht="15" customHeight="1" x14ac:dyDescent="0.25">
      <c r="A8" s="125"/>
      <c r="B8" s="108">
        <v>4</v>
      </c>
      <c r="C8" s="108">
        <v>3</v>
      </c>
      <c r="D8" s="155">
        <f t="shared" si="0"/>
        <v>12</v>
      </c>
      <c r="E8" s="155" t="s">
        <v>176</v>
      </c>
      <c r="F8" s="155" t="s">
        <v>177</v>
      </c>
      <c r="G8" s="370"/>
      <c r="H8" s="178"/>
    </row>
    <row r="9" spans="1:8" ht="15" customHeight="1" x14ac:dyDescent="0.25">
      <c r="A9" s="125"/>
      <c r="B9" s="108">
        <v>1</v>
      </c>
      <c r="C9" s="108">
        <v>2.8</v>
      </c>
      <c r="D9" s="155">
        <f t="shared" si="0"/>
        <v>2.8</v>
      </c>
      <c r="E9" s="155" t="s">
        <v>176</v>
      </c>
      <c r="F9" s="155" t="s">
        <v>177</v>
      </c>
      <c r="G9" s="370"/>
      <c r="H9" s="178"/>
    </row>
    <row r="10" spans="1:8" ht="15" customHeight="1" x14ac:dyDescent="0.25">
      <c r="A10" s="125"/>
      <c r="B10" s="108">
        <v>3.7</v>
      </c>
      <c r="C10" s="108">
        <v>9.8000000000000007</v>
      </c>
      <c r="D10" s="155">
        <f t="shared" si="0"/>
        <v>36.260000000000005</v>
      </c>
      <c r="E10" s="155" t="s">
        <v>176</v>
      </c>
      <c r="F10" s="155" t="s">
        <v>177</v>
      </c>
      <c r="G10" s="370"/>
      <c r="H10" s="178"/>
    </row>
    <row r="11" spans="1:8" ht="15" customHeight="1" x14ac:dyDescent="0.25">
      <c r="A11" s="125"/>
      <c r="B11" s="108">
        <v>4</v>
      </c>
      <c r="C11" s="108">
        <v>13</v>
      </c>
      <c r="D11" s="155">
        <f t="shared" si="0"/>
        <v>52</v>
      </c>
      <c r="E11" s="155" t="s">
        <v>176</v>
      </c>
      <c r="F11" s="155" t="s">
        <v>177</v>
      </c>
      <c r="G11" s="370"/>
      <c r="H11" s="178"/>
    </row>
    <row r="12" spans="1:8" ht="15" customHeight="1" x14ac:dyDescent="0.25">
      <c r="A12" s="125"/>
      <c r="B12" s="108">
        <v>4</v>
      </c>
      <c r="C12" s="108">
        <v>6</v>
      </c>
      <c r="D12" s="155">
        <f t="shared" si="0"/>
        <v>24</v>
      </c>
      <c r="E12" s="155" t="s">
        <v>176</v>
      </c>
      <c r="F12" s="155" t="s">
        <v>177</v>
      </c>
      <c r="G12" s="370"/>
      <c r="H12" s="178"/>
    </row>
    <row r="13" spans="1:8" ht="15" customHeight="1" x14ac:dyDescent="0.25">
      <c r="A13" s="125"/>
      <c r="B13" s="108">
        <v>10</v>
      </c>
      <c r="C13" s="108">
        <v>2</v>
      </c>
      <c r="D13" s="155">
        <f t="shared" si="0"/>
        <v>20</v>
      </c>
      <c r="E13" s="155" t="s">
        <v>176</v>
      </c>
      <c r="F13" s="155" t="s">
        <v>177</v>
      </c>
      <c r="G13" s="370"/>
      <c r="H13" s="126"/>
    </row>
    <row r="14" spans="1:8" ht="15" customHeight="1" x14ac:dyDescent="0.25">
      <c r="A14" s="125"/>
      <c r="B14" s="108">
        <v>2.2000000000000002</v>
      </c>
      <c r="C14" s="108">
        <v>7</v>
      </c>
      <c r="D14" s="155">
        <f t="shared" si="0"/>
        <v>15.400000000000002</v>
      </c>
      <c r="E14" s="155" t="s">
        <v>176</v>
      </c>
      <c r="F14" s="155" t="s">
        <v>177</v>
      </c>
      <c r="G14" s="370"/>
      <c r="H14" s="126"/>
    </row>
    <row r="15" spans="1:8" ht="15" customHeight="1" x14ac:dyDescent="0.25">
      <c r="A15" s="125"/>
      <c r="B15" s="108">
        <v>2.6</v>
      </c>
      <c r="C15" s="108">
        <v>14</v>
      </c>
      <c r="D15" s="155">
        <f t="shared" si="0"/>
        <v>36.4</v>
      </c>
      <c r="E15" s="155" t="s">
        <v>176</v>
      </c>
      <c r="F15" s="155" t="s">
        <v>177</v>
      </c>
      <c r="G15" s="370"/>
      <c r="H15" s="126"/>
    </row>
    <row r="16" spans="1:8" ht="15" customHeight="1" x14ac:dyDescent="0.25">
      <c r="A16" s="125"/>
      <c r="B16" s="108">
        <v>2.2999999999999998</v>
      </c>
      <c r="C16" s="108">
        <v>11</v>
      </c>
      <c r="D16" s="155">
        <f t="shared" si="0"/>
        <v>25.299999999999997</v>
      </c>
      <c r="E16" s="155" t="s">
        <v>176</v>
      </c>
      <c r="F16" s="155" t="s">
        <v>177</v>
      </c>
      <c r="G16" s="370"/>
      <c r="H16" s="126"/>
    </row>
    <row r="17" spans="1:8" ht="15" customHeight="1" x14ac:dyDescent="0.25">
      <c r="A17" s="125"/>
      <c r="B17" s="108">
        <v>3.4</v>
      </c>
      <c r="C17" s="108">
        <v>7</v>
      </c>
      <c r="D17" s="155">
        <f t="shared" si="0"/>
        <v>23.8</v>
      </c>
      <c r="E17" s="155" t="s">
        <v>176</v>
      </c>
      <c r="F17" s="155" t="s">
        <v>177</v>
      </c>
      <c r="G17" s="370"/>
      <c r="H17" s="126"/>
    </row>
    <row r="18" spans="1:8" ht="15" customHeight="1" x14ac:dyDescent="0.25">
      <c r="A18" s="125"/>
      <c r="B18" s="108">
        <v>3.2</v>
      </c>
      <c r="C18" s="108">
        <v>5.8</v>
      </c>
      <c r="D18" s="155">
        <f t="shared" si="0"/>
        <v>18.559999999999999</v>
      </c>
      <c r="E18" s="155" t="s">
        <v>176</v>
      </c>
      <c r="F18" s="155" t="s">
        <v>177</v>
      </c>
      <c r="G18" s="370"/>
      <c r="H18" s="126"/>
    </row>
    <row r="19" spans="1:8" ht="15" customHeight="1" x14ac:dyDescent="0.25">
      <c r="A19" s="125"/>
      <c r="B19" s="108">
        <v>2</v>
      </c>
      <c r="C19" s="108">
        <v>1</v>
      </c>
      <c r="D19" s="155">
        <f t="shared" si="0"/>
        <v>2</v>
      </c>
      <c r="E19" s="155" t="s">
        <v>176</v>
      </c>
      <c r="F19" s="155" t="s">
        <v>177</v>
      </c>
      <c r="G19" s="370"/>
      <c r="H19" s="126"/>
    </row>
    <row r="20" spans="1:8" ht="15" customHeight="1" x14ac:dyDescent="0.25">
      <c r="A20" s="125"/>
      <c r="B20" s="108">
        <v>0.8</v>
      </c>
      <c r="C20" s="108">
        <v>1.1000000000000001</v>
      </c>
      <c r="D20" s="155">
        <f t="shared" si="0"/>
        <v>0.88000000000000012</v>
      </c>
      <c r="E20" s="155" t="s">
        <v>176</v>
      </c>
      <c r="F20" s="155" t="s">
        <v>177</v>
      </c>
      <c r="G20" s="370"/>
      <c r="H20" s="126"/>
    </row>
    <row r="21" spans="1:8" ht="15" customHeight="1" x14ac:dyDescent="0.25">
      <c r="A21" s="125"/>
      <c r="B21" s="108">
        <v>1.2</v>
      </c>
      <c r="C21" s="108">
        <v>1.4</v>
      </c>
      <c r="D21" s="155">
        <f t="shared" si="0"/>
        <v>1.68</v>
      </c>
      <c r="E21" s="155" t="s">
        <v>176</v>
      </c>
      <c r="F21" s="155" t="s">
        <v>177</v>
      </c>
      <c r="G21" s="370"/>
      <c r="H21" s="126"/>
    </row>
    <row r="22" spans="1:8" ht="15" customHeight="1" x14ac:dyDescent="0.25">
      <c r="A22" s="125"/>
      <c r="B22" s="108">
        <v>1.1000000000000001</v>
      </c>
      <c r="C22" s="108">
        <v>13</v>
      </c>
      <c r="D22" s="155">
        <f t="shared" si="0"/>
        <v>14.3</v>
      </c>
      <c r="E22" s="155" t="s">
        <v>176</v>
      </c>
      <c r="F22" s="155" t="s">
        <v>177</v>
      </c>
      <c r="G22" s="370"/>
      <c r="H22" s="126"/>
    </row>
    <row r="23" spans="1:8" ht="15" customHeight="1" x14ac:dyDescent="0.25">
      <c r="A23" s="125"/>
      <c r="B23" s="108"/>
      <c r="C23" s="108"/>
      <c r="D23" s="155"/>
      <c r="E23" s="109"/>
      <c r="F23" s="155"/>
      <c r="G23" s="370"/>
      <c r="H23" s="126"/>
    </row>
    <row r="24" spans="1:8" ht="15" customHeight="1" x14ac:dyDescent="0.25">
      <c r="A24" s="125"/>
      <c r="B24" s="108"/>
      <c r="C24" s="108"/>
      <c r="D24" s="155"/>
      <c r="E24" s="109"/>
      <c r="F24" s="155"/>
      <c r="G24" s="370"/>
      <c r="H24" s="126"/>
    </row>
    <row r="25" spans="1:8" ht="15" customHeight="1" x14ac:dyDescent="0.25">
      <c r="A25" s="125"/>
      <c r="B25" s="108"/>
      <c r="C25" s="108"/>
      <c r="D25" s="155"/>
      <c r="E25" s="109"/>
      <c r="F25" s="155"/>
      <c r="G25" s="370"/>
      <c r="H25" s="126"/>
    </row>
    <row r="26" spans="1:8" ht="15" customHeight="1" x14ac:dyDescent="0.25">
      <c r="A26" s="125"/>
      <c r="B26" s="108"/>
      <c r="C26" s="108"/>
      <c r="D26" s="155"/>
      <c r="E26" s="109"/>
      <c r="F26" s="155"/>
      <c r="G26" s="370"/>
      <c r="H26" s="126"/>
    </row>
    <row r="27" spans="1:8" ht="15" customHeight="1" x14ac:dyDescent="0.25">
      <c r="A27" s="125"/>
      <c r="B27" s="108"/>
      <c r="C27" s="108"/>
      <c r="D27" s="155"/>
      <c r="E27" s="109"/>
      <c r="F27" s="155"/>
      <c r="G27" s="370"/>
      <c r="H27" s="126"/>
    </row>
    <row r="28" spans="1:8" ht="15" customHeight="1" x14ac:dyDescent="0.25">
      <c r="A28" s="125"/>
      <c r="B28" s="108"/>
      <c r="C28" s="108"/>
      <c r="D28" s="155"/>
      <c r="E28" s="109"/>
      <c r="F28" s="155"/>
      <c r="G28" s="370"/>
      <c r="H28" s="126"/>
    </row>
    <row r="29" spans="1:8" ht="15" customHeight="1" x14ac:dyDescent="0.25">
      <c r="A29" s="125"/>
      <c r="B29" s="108"/>
      <c r="C29" s="108"/>
      <c r="D29" s="155"/>
      <c r="E29" s="109"/>
      <c r="F29" s="155"/>
      <c r="G29" s="370"/>
      <c r="H29" s="126"/>
    </row>
    <row r="30" spans="1:8" ht="15" customHeight="1" x14ac:dyDescent="0.25">
      <c r="A30" s="125"/>
      <c r="B30" s="108"/>
      <c r="C30" s="108"/>
      <c r="D30" s="155"/>
      <c r="E30" s="109"/>
      <c r="F30" s="155"/>
      <c r="G30" s="370"/>
      <c r="H30" s="126"/>
    </row>
    <row r="31" spans="1:8" ht="15" customHeight="1" x14ac:dyDescent="0.25">
      <c r="A31" s="125"/>
      <c r="B31" s="108"/>
      <c r="C31" s="108"/>
      <c r="D31" s="155"/>
      <c r="E31" s="109"/>
      <c r="F31" s="155"/>
      <c r="G31" s="370"/>
      <c r="H31" s="126"/>
    </row>
    <row r="32" spans="1:8" ht="15" customHeight="1" x14ac:dyDescent="0.25">
      <c r="A32" s="125"/>
      <c r="B32" s="108"/>
      <c r="C32" s="108"/>
      <c r="D32" s="155"/>
      <c r="E32" s="109"/>
      <c r="F32" s="155"/>
      <c r="G32" s="370"/>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71" t="s">
        <v>128</v>
      </c>
    </row>
    <row r="40" spans="1:8" ht="15" customHeight="1" thickBot="1" x14ac:dyDescent="0.3">
      <c r="A40" s="157"/>
      <c r="B40" s="143"/>
      <c r="C40" s="143"/>
      <c r="D40" s="144"/>
      <c r="E40" s="145"/>
      <c r="F40" s="130"/>
      <c r="G40" s="174"/>
      <c r="H40" s="372"/>
    </row>
    <row r="41" spans="1:8" ht="15" customHeight="1" thickTop="1" x14ac:dyDescent="0.25">
      <c r="A41" s="156"/>
      <c r="B41" s="146"/>
      <c r="C41" s="146"/>
      <c r="D41" s="147"/>
      <c r="E41" s="148"/>
      <c r="F41" s="149"/>
      <c r="G41" s="373">
        <f>SUM(D41:D42)</f>
        <v>0</v>
      </c>
      <c r="H41" s="375">
        <f>SUM(G7:G40)</f>
        <v>292.58000000000004</v>
      </c>
    </row>
    <row r="42" spans="1:8" ht="15" customHeight="1" thickBot="1" x14ac:dyDescent="0.3">
      <c r="A42" s="118"/>
      <c r="B42" s="114"/>
      <c r="C42" s="114"/>
      <c r="D42" s="192"/>
      <c r="E42" s="115"/>
      <c r="F42" s="122"/>
      <c r="G42" s="374"/>
      <c r="H42" s="376"/>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77" t="str">
        <f>"QUANTIDADES RUA OPERAÇÃO TAPA BURACO NA "&amp;UPPER(E10)</f>
        <v>QUANTIDADES RUA OPERAÇÃO TAPA BURACO NA ANTONIO LEMES DA SILVA</v>
      </c>
      <c r="B45" s="378"/>
      <c r="C45" s="378"/>
      <c r="D45" s="378"/>
      <c r="E45" s="378"/>
      <c r="F45" s="379"/>
      <c r="G45" s="377" t="s">
        <v>136</v>
      </c>
      <c r="H45" s="379"/>
    </row>
    <row r="46" spans="1:8" ht="15.75" customHeight="1" thickBot="1" x14ac:dyDescent="0.3">
      <c r="A46" s="380"/>
      <c r="B46" s="381"/>
      <c r="C46" s="381"/>
      <c r="D46" s="381"/>
      <c r="E46" s="381"/>
      <c r="F46" s="382"/>
      <c r="G46" s="380"/>
      <c r="H46" s="382"/>
    </row>
    <row r="47" spans="1:8" ht="15" customHeight="1" thickTop="1" x14ac:dyDescent="0.25">
      <c r="A47" s="131" t="s">
        <v>102</v>
      </c>
      <c r="B47" s="383" t="s">
        <v>32</v>
      </c>
      <c r="C47" s="384"/>
      <c r="D47" s="132" t="s">
        <v>35</v>
      </c>
      <c r="E47" s="132" t="s">
        <v>124</v>
      </c>
      <c r="F47" s="133" t="s">
        <v>125</v>
      </c>
      <c r="G47" s="156"/>
      <c r="H47" s="179"/>
    </row>
    <row r="48" spans="1:8" ht="15.75" customHeight="1" x14ac:dyDescent="0.25">
      <c r="A48" s="134">
        <v>1</v>
      </c>
      <c r="B48" s="353" t="s">
        <v>106</v>
      </c>
      <c r="C48" s="354"/>
      <c r="D48" s="195" t="s">
        <v>105</v>
      </c>
      <c r="E48" s="135"/>
      <c r="F48" s="136">
        <f>G7</f>
        <v>292.58000000000004</v>
      </c>
      <c r="G48" s="385" t="s">
        <v>112</v>
      </c>
      <c r="H48" s="386"/>
    </row>
    <row r="49" spans="1:8" x14ac:dyDescent="0.25">
      <c r="A49" s="134">
        <v>2</v>
      </c>
      <c r="B49" s="353" t="s">
        <v>112</v>
      </c>
      <c r="C49" s="354"/>
      <c r="D49" s="195" t="s">
        <v>114</v>
      </c>
      <c r="E49" s="200" t="s">
        <v>173</v>
      </c>
      <c r="F49" s="136">
        <f>(23.42)</f>
        <v>23.42</v>
      </c>
      <c r="G49" s="355">
        <f>F49+F57</f>
        <v>23.42</v>
      </c>
      <c r="H49" s="356"/>
    </row>
    <row r="50" spans="1:8" ht="15.75" customHeight="1" x14ac:dyDescent="0.25">
      <c r="A50" s="134">
        <v>3</v>
      </c>
      <c r="B50" s="353" t="s">
        <v>113</v>
      </c>
      <c r="C50" s="354"/>
      <c r="D50" s="195" t="s">
        <v>115</v>
      </c>
      <c r="E50" s="138" t="e">
        <f>#REF!</f>
        <v>#REF!</v>
      </c>
      <c r="F50" s="136" t="e">
        <f>F49*E50</f>
        <v>#REF!</v>
      </c>
      <c r="G50" s="385" t="s">
        <v>137</v>
      </c>
      <c r="H50" s="386"/>
    </row>
    <row r="51" spans="1:8" ht="15" customHeight="1" thickBot="1" x14ac:dyDescent="0.3">
      <c r="A51" s="139">
        <v>4</v>
      </c>
      <c r="B51" s="388" t="s">
        <v>110</v>
      </c>
      <c r="C51" s="389"/>
      <c r="D51" s="196" t="s">
        <v>105</v>
      </c>
      <c r="E51" s="202"/>
      <c r="F51" s="141">
        <f>F48</f>
        <v>292.58000000000004</v>
      </c>
      <c r="G51" s="390" t="e">
        <f>F50+F58</f>
        <v>#REF!</v>
      </c>
      <c r="H51" s="391"/>
    </row>
    <row r="52" spans="1:8" ht="15" customHeight="1" thickTop="1" thickBot="1" x14ac:dyDescent="0.3">
      <c r="A52" s="157"/>
      <c r="B52" s="112"/>
      <c r="C52" s="112"/>
      <c r="D52" s="110"/>
      <c r="E52" s="107"/>
      <c r="F52" s="110"/>
      <c r="G52" s="190"/>
      <c r="H52" s="176"/>
    </row>
    <row r="53" spans="1:8" ht="15" customHeight="1" thickTop="1" x14ac:dyDescent="0.25">
      <c r="A53" s="392"/>
      <c r="B53" s="393"/>
      <c r="C53" s="393"/>
      <c r="D53" s="393"/>
      <c r="E53" s="393"/>
      <c r="F53" s="394"/>
      <c r="G53" s="110"/>
      <c r="H53" s="176"/>
    </row>
    <row r="54" spans="1:8" ht="15.75" customHeight="1" thickBot="1" x14ac:dyDescent="0.3">
      <c r="A54" s="395"/>
      <c r="B54" s="396"/>
      <c r="C54" s="396"/>
      <c r="D54" s="396"/>
      <c r="E54" s="396"/>
      <c r="F54" s="397"/>
      <c r="G54" s="110"/>
      <c r="H54" s="176"/>
    </row>
    <row r="55" spans="1:8" ht="15" customHeight="1" thickTop="1" x14ac:dyDescent="0.25">
      <c r="A55" s="131" t="s">
        <v>102</v>
      </c>
      <c r="B55" s="383" t="s">
        <v>32</v>
      </c>
      <c r="C55" s="384"/>
      <c r="D55" s="132" t="s">
        <v>35</v>
      </c>
      <c r="E55" s="132" t="s">
        <v>124</v>
      </c>
      <c r="F55" s="133" t="s">
        <v>125</v>
      </c>
      <c r="G55" s="190"/>
      <c r="H55" s="199"/>
    </row>
    <row r="56" spans="1:8" ht="15.75" customHeight="1" x14ac:dyDescent="0.25">
      <c r="A56" s="134">
        <v>1</v>
      </c>
      <c r="B56" s="353" t="s">
        <v>106</v>
      </c>
      <c r="C56" s="354"/>
      <c r="D56" s="195" t="s">
        <v>105</v>
      </c>
      <c r="E56" s="135"/>
      <c r="F56" s="136">
        <f>G15</f>
        <v>0</v>
      </c>
      <c r="G56" s="190"/>
      <c r="H56" s="199"/>
    </row>
    <row r="57" spans="1:8" x14ac:dyDescent="0.25">
      <c r="A57" s="134">
        <v>2</v>
      </c>
      <c r="B57" s="353" t="s">
        <v>112</v>
      </c>
      <c r="C57" s="354"/>
      <c r="D57" s="195" t="s">
        <v>114</v>
      </c>
      <c r="E57" s="200"/>
      <c r="F57" s="136">
        <f>E57</f>
        <v>0</v>
      </c>
      <c r="G57" s="190"/>
      <c r="H57" s="199"/>
    </row>
    <row r="58" spans="1:8" ht="15.75" customHeight="1" x14ac:dyDescent="0.25">
      <c r="A58" s="134">
        <v>3</v>
      </c>
      <c r="B58" s="353" t="s">
        <v>113</v>
      </c>
      <c r="C58" s="354"/>
      <c r="D58" s="195" t="s">
        <v>115</v>
      </c>
      <c r="E58" s="138"/>
      <c r="F58" s="136">
        <f>F57*E58</f>
        <v>0</v>
      </c>
      <c r="G58" s="190"/>
      <c r="H58" s="176"/>
    </row>
    <row r="59" spans="1:8" ht="15" customHeight="1" thickBot="1" x14ac:dyDescent="0.3">
      <c r="A59" s="139">
        <v>4</v>
      </c>
      <c r="B59" s="388" t="s">
        <v>110</v>
      </c>
      <c r="C59" s="389"/>
      <c r="D59" s="196" t="s">
        <v>105</v>
      </c>
      <c r="E59" s="202"/>
      <c r="F59" s="141">
        <f>F56</f>
        <v>0</v>
      </c>
      <c r="G59" s="190"/>
      <c r="H59" s="176"/>
    </row>
    <row r="60" spans="1:8" ht="15" customHeight="1" thickTop="1" x14ac:dyDescent="0.25">
      <c r="A60" s="157"/>
      <c r="B60" s="112"/>
      <c r="C60" s="112"/>
      <c r="D60" s="110"/>
      <c r="E60" s="107"/>
      <c r="F60" s="110"/>
      <c r="G60" s="190"/>
      <c r="H60" s="176"/>
    </row>
    <row r="61" spans="1:8" ht="15" customHeight="1" thickBot="1" x14ac:dyDescent="0.3">
      <c r="A61" s="129"/>
      <c r="B61" s="110"/>
      <c r="C61" s="110"/>
      <c r="D61" s="110"/>
      <c r="E61" s="107"/>
      <c r="F61" s="110"/>
      <c r="G61" s="110"/>
      <c r="H61" s="199"/>
    </row>
    <row r="62" spans="1:8" ht="15.75" customHeight="1" thickTop="1" x14ac:dyDescent="0.25">
      <c r="A62" s="392" t="s">
        <v>174</v>
      </c>
      <c r="B62" s="393"/>
      <c r="C62" s="393"/>
      <c r="D62" s="393"/>
      <c r="E62" s="393"/>
      <c r="F62" s="393"/>
      <c r="G62" s="394"/>
      <c r="H62" s="199"/>
    </row>
    <row r="63" spans="1:8" ht="15.75" thickBot="1" x14ac:dyDescent="0.3">
      <c r="A63" s="395"/>
      <c r="B63" s="396"/>
      <c r="C63" s="396"/>
      <c r="D63" s="396"/>
      <c r="E63" s="396"/>
      <c r="F63" s="396"/>
      <c r="G63" s="397"/>
      <c r="H63" s="199"/>
    </row>
    <row r="64" spans="1:8" ht="20.25" customHeight="1" thickTop="1" x14ac:dyDescent="0.25">
      <c r="A64" s="180" t="s">
        <v>102</v>
      </c>
      <c r="B64" s="387" t="s">
        <v>123</v>
      </c>
      <c r="C64" s="387"/>
      <c r="D64" s="198" t="s">
        <v>126</v>
      </c>
      <c r="E64" s="387" t="s">
        <v>124</v>
      </c>
      <c r="F64" s="387"/>
      <c r="G64" s="182" t="s">
        <v>127</v>
      </c>
      <c r="H64" s="199"/>
    </row>
    <row r="65" spans="1:9" ht="20.25" customHeight="1" x14ac:dyDescent="0.25">
      <c r="A65" s="119">
        <v>1</v>
      </c>
      <c r="B65" s="398" t="s">
        <v>109</v>
      </c>
      <c r="C65" s="398"/>
      <c r="D65" s="194" t="s">
        <v>105</v>
      </c>
      <c r="E65" s="399" t="s">
        <v>175</v>
      </c>
      <c r="F65" s="399"/>
      <c r="G65" s="216">
        <f>185*7.5+197*7.5</f>
        <v>2865</v>
      </c>
      <c r="H65" s="199"/>
    </row>
    <row r="66" spans="1:9" ht="27" customHeight="1" x14ac:dyDescent="0.25">
      <c r="A66" s="123">
        <v>2</v>
      </c>
      <c r="B66" s="398" t="s">
        <v>112</v>
      </c>
      <c r="C66" s="398"/>
      <c r="D66" s="194" t="s">
        <v>116</v>
      </c>
      <c r="E66" s="400" t="s">
        <v>186</v>
      </c>
      <c r="F66" s="400"/>
      <c r="G66" s="151">
        <f>22.65+21.46+21.45+21.77+21.52+19.66+21.65+21.52+21.67+21.1+21.25+21.8+17.94+20.77+20.06+10.66+13.13+22.26+21.28+20.64</f>
        <v>404.24</v>
      </c>
      <c r="H66" s="199"/>
    </row>
    <row r="67" spans="1:9" ht="20.25" customHeight="1" x14ac:dyDescent="0.25">
      <c r="A67" s="119">
        <v>3</v>
      </c>
      <c r="B67" s="398" t="s">
        <v>117</v>
      </c>
      <c r="C67" s="398"/>
      <c r="D67" s="194" t="s">
        <v>115</v>
      </c>
      <c r="E67" s="401">
        <v>9.6999999999999993</v>
      </c>
      <c r="F67" s="401"/>
      <c r="G67" s="151">
        <f>G66*E67</f>
        <v>3921.1279999999997</v>
      </c>
      <c r="H67" s="199"/>
    </row>
    <row r="68" spans="1:9" ht="20.25" customHeight="1" x14ac:dyDescent="0.25">
      <c r="A68" s="119">
        <v>4</v>
      </c>
      <c r="B68" s="398" t="s">
        <v>118</v>
      </c>
      <c r="C68" s="398"/>
      <c r="D68" s="194" t="s">
        <v>119</v>
      </c>
      <c r="E68" s="402">
        <f>TRUNC(((G65*0.08)*1.8)/12,0)</f>
        <v>34</v>
      </c>
      <c r="F68" s="402"/>
      <c r="G68" s="151">
        <f>13*E68</f>
        <v>442</v>
      </c>
      <c r="H68" s="199"/>
    </row>
    <row r="69" spans="1:9" ht="20.25" customHeight="1" x14ac:dyDescent="0.25">
      <c r="A69" s="119">
        <v>5</v>
      </c>
      <c r="B69" s="398" t="s">
        <v>121</v>
      </c>
      <c r="C69" s="398"/>
      <c r="D69" s="194" t="s">
        <v>120</v>
      </c>
      <c r="E69" s="403" t="e">
        <f>#REF!</f>
        <v>#REF!</v>
      </c>
      <c r="F69" s="403"/>
      <c r="G69" s="151" t="e">
        <f>G68*E69</f>
        <v>#REF!</v>
      </c>
      <c r="H69" s="199"/>
    </row>
    <row r="70" spans="1:9" ht="20.25" customHeight="1" thickBot="1" x14ac:dyDescent="0.3">
      <c r="A70" s="120">
        <v>6</v>
      </c>
      <c r="B70" s="404" t="s">
        <v>110</v>
      </c>
      <c r="C70" s="404"/>
      <c r="D70" s="201" t="s">
        <v>105</v>
      </c>
      <c r="E70" s="405" t="s">
        <v>175</v>
      </c>
      <c r="F70" s="406"/>
      <c r="G70" s="189">
        <f>185*7.5+197*7.5</f>
        <v>2865</v>
      </c>
      <c r="H70" s="199"/>
      <c r="I70">
        <f>G66/2.5</f>
        <v>161.696</v>
      </c>
    </row>
    <row r="71" spans="1:9" ht="16.5" thickTop="1" thickBot="1" x14ac:dyDescent="0.3">
      <c r="A71" s="129"/>
      <c r="B71" s="110"/>
      <c r="C71" s="110"/>
      <c r="D71" s="110"/>
      <c r="E71" s="107"/>
      <c r="F71" s="110"/>
      <c r="G71" s="110"/>
      <c r="H71" s="176"/>
      <c r="I71">
        <f>I70/0.04</f>
        <v>4042.4</v>
      </c>
    </row>
    <row r="72" spans="1:9" ht="15.75" customHeight="1" thickTop="1" x14ac:dyDescent="0.25">
      <c r="A72" s="392" t="s">
        <v>171</v>
      </c>
      <c r="B72" s="393"/>
      <c r="C72" s="393"/>
      <c r="D72" s="393"/>
      <c r="E72" s="393"/>
      <c r="F72" s="393"/>
      <c r="G72" s="394"/>
      <c r="H72" s="407" t="s">
        <v>154</v>
      </c>
    </row>
    <row r="73" spans="1:9" ht="15.75" thickBot="1" x14ac:dyDescent="0.3">
      <c r="A73" s="395"/>
      <c r="B73" s="396"/>
      <c r="C73" s="396"/>
      <c r="D73" s="396"/>
      <c r="E73" s="396"/>
      <c r="F73" s="396"/>
      <c r="G73" s="397"/>
      <c r="H73" s="408"/>
    </row>
    <row r="74" spans="1:9" ht="20.25" customHeight="1" thickTop="1" x14ac:dyDescent="0.25">
      <c r="A74" s="180" t="s">
        <v>102</v>
      </c>
      <c r="B74" s="387" t="s">
        <v>123</v>
      </c>
      <c r="C74" s="387"/>
      <c r="D74" s="198" t="s">
        <v>126</v>
      </c>
      <c r="E74" s="387" t="s">
        <v>124</v>
      </c>
      <c r="F74" s="387"/>
      <c r="G74" s="182" t="s">
        <v>127</v>
      </c>
      <c r="H74" s="183"/>
    </row>
    <row r="75" spans="1:9" ht="20.25" customHeight="1" x14ac:dyDescent="0.25">
      <c r="A75" s="119">
        <v>1</v>
      </c>
      <c r="B75" s="409" t="s">
        <v>109</v>
      </c>
      <c r="C75" s="409"/>
      <c r="D75" s="193" t="s">
        <v>105</v>
      </c>
      <c r="E75" s="410"/>
      <c r="F75" s="410"/>
      <c r="G75" s="150"/>
      <c r="H75" s="184">
        <f>G65+G75</f>
        <v>2865</v>
      </c>
    </row>
    <row r="76" spans="1:9" ht="20.25" customHeight="1" x14ac:dyDescent="0.25">
      <c r="A76" s="123">
        <v>2</v>
      </c>
      <c r="B76" s="398" t="s">
        <v>112</v>
      </c>
      <c r="C76" s="398"/>
      <c r="D76" s="194" t="s">
        <v>116</v>
      </c>
      <c r="E76" s="400"/>
      <c r="F76" s="400"/>
      <c r="G76" s="151"/>
      <c r="H76" s="184">
        <f t="shared" ref="H76:H80" si="1">G66+G76</f>
        <v>404.24</v>
      </c>
    </row>
    <row r="77" spans="1:9" ht="20.25" customHeight="1" x14ac:dyDescent="0.25">
      <c r="A77" s="119">
        <v>3</v>
      </c>
      <c r="B77" s="409" t="s">
        <v>117</v>
      </c>
      <c r="C77" s="409"/>
      <c r="D77" s="193" t="s">
        <v>115</v>
      </c>
      <c r="E77" s="413"/>
      <c r="F77" s="413"/>
      <c r="G77" s="150">
        <f>G76*E77</f>
        <v>0</v>
      </c>
      <c r="H77" s="184">
        <f t="shared" si="1"/>
        <v>3921.1279999999997</v>
      </c>
    </row>
    <row r="78" spans="1:9" ht="20.25" customHeight="1" x14ac:dyDescent="0.25">
      <c r="A78" s="119">
        <v>4</v>
      </c>
      <c r="B78" s="409" t="s">
        <v>118</v>
      </c>
      <c r="C78" s="409"/>
      <c r="D78" s="193" t="s">
        <v>119</v>
      </c>
      <c r="E78" s="425"/>
      <c r="F78" s="425"/>
      <c r="G78" s="150">
        <f>13*E78</f>
        <v>0</v>
      </c>
      <c r="H78" s="184">
        <f t="shared" si="1"/>
        <v>442</v>
      </c>
    </row>
    <row r="79" spans="1:9" ht="20.25" customHeight="1" x14ac:dyDescent="0.25">
      <c r="A79" s="119">
        <v>5</v>
      </c>
      <c r="B79" s="409" t="s">
        <v>121</v>
      </c>
      <c r="C79" s="409"/>
      <c r="D79" s="193" t="s">
        <v>120</v>
      </c>
      <c r="E79" s="411"/>
      <c r="F79" s="411"/>
      <c r="G79" s="150">
        <f>G78*E79</f>
        <v>0</v>
      </c>
      <c r="H79" s="184" t="e">
        <f t="shared" si="1"/>
        <v>#REF!</v>
      </c>
    </row>
    <row r="80" spans="1:9" ht="20.25" customHeight="1" thickBot="1" x14ac:dyDescent="0.3">
      <c r="A80" s="120">
        <v>6</v>
      </c>
      <c r="B80" s="412" t="s">
        <v>110</v>
      </c>
      <c r="C80" s="412"/>
      <c r="D80" s="191" t="s">
        <v>105</v>
      </c>
      <c r="E80" s="405"/>
      <c r="F80" s="406"/>
      <c r="G80" s="152"/>
      <c r="H80" s="185">
        <f t="shared" si="1"/>
        <v>2865</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86" zoomScaleSheetLayoutView="100" workbookViewId="0">
      <selection activeCell="E10" sqref="E10"/>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57" t="s">
        <v>111</v>
      </c>
      <c r="B1" s="358"/>
      <c r="C1" s="358"/>
      <c r="D1" s="358"/>
      <c r="E1" s="358"/>
      <c r="F1" s="358"/>
      <c r="G1" s="358"/>
      <c r="H1" s="359"/>
    </row>
    <row r="2" spans="1:8" x14ac:dyDescent="0.25">
      <c r="A2" s="360"/>
      <c r="B2" s="361"/>
      <c r="C2" s="361"/>
      <c r="D2" s="361"/>
      <c r="E2" s="361"/>
      <c r="F2" s="361"/>
      <c r="G2" s="361"/>
      <c r="H2" s="362"/>
    </row>
    <row r="3" spans="1:8" x14ac:dyDescent="0.25">
      <c r="A3" s="360"/>
      <c r="B3" s="361"/>
      <c r="C3" s="361"/>
      <c r="D3" s="361"/>
      <c r="E3" s="361"/>
      <c r="F3" s="361"/>
      <c r="G3" s="361"/>
      <c r="H3" s="362"/>
    </row>
    <row r="4" spans="1:8" ht="15.75" thickBot="1" x14ac:dyDescent="0.3">
      <c r="A4" s="363"/>
      <c r="B4" s="364"/>
      <c r="C4" s="364"/>
      <c r="D4" s="364"/>
      <c r="E4" s="364"/>
      <c r="F4" s="364"/>
      <c r="G4" s="364"/>
      <c r="H4" s="365"/>
    </row>
    <row r="5" spans="1:8" ht="18.75" customHeight="1" thickTop="1" thickBot="1" x14ac:dyDescent="0.35">
      <c r="A5" s="366">
        <v>43046</v>
      </c>
      <c r="B5" s="367"/>
      <c r="C5" s="367"/>
      <c r="D5" s="367"/>
      <c r="E5" s="367"/>
      <c r="F5" s="367"/>
      <c r="G5" s="368"/>
      <c r="H5" s="178"/>
    </row>
    <row r="6" spans="1:8" ht="15.75" customHeight="1" thickTop="1" x14ac:dyDescent="0.25">
      <c r="A6" s="113" t="s">
        <v>90</v>
      </c>
      <c r="B6" s="111" t="s">
        <v>103</v>
      </c>
      <c r="C6" s="111" t="s">
        <v>104</v>
      </c>
      <c r="D6" s="111" t="s">
        <v>105</v>
      </c>
      <c r="E6" s="111" t="s">
        <v>108</v>
      </c>
      <c r="F6" s="207" t="s">
        <v>107</v>
      </c>
      <c r="G6" s="127" t="s">
        <v>122</v>
      </c>
      <c r="H6" s="178"/>
    </row>
    <row r="7" spans="1:8" ht="15" customHeight="1" x14ac:dyDescent="0.25">
      <c r="A7" s="124"/>
      <c r="B7" s="108"/>
      <c r="C7" s="108"/>
      <c r="D7" s="155">
        <f t="shared" ref="D7:D14" si="0">C7*B7</f>
        <v>0</v>
      </c>
      <c r="E7" s="155"/>
      <c r="F7" s="155"/>
      <c r="G7" s="369">
        <f>SUM(D7:D32)</f>
        <v>0</v>
      </c>
      <c r="H7" s="178"/>
    </row>
    <row r="8" spans="1:8" ht="15" customHeight="1" x14ac:dyDescent="0.25">
      <c r="A8" s="125"/>
      <c r="B8" s="108"/>
      <c r="C8" s="108"/>
      <c r="D8" s="155">
        <f t="shared" si="0"/>
        <v>0</v>
      </c>
      <c r="E8" s="155"/>
      <c r="F8" s="155"/>
      <c r="G8" s="370"/>
      <c r="H8" s="178"/>
    </row>
    <row r="9" spans="1:8" ht="15" customHeight="1" x14ac:dyDescent="0.25">
      <c r="A9" s="125"/>
      <c r="B9" s="108"/>
      <c r="C9" s="108"/>
      <c r="D9" s="155">
        <f t="shared" si="0"/>
        <v>0</v>
      </c>
      <c r="E9" s="155"/>
      <c r="F9" s="155"/>
      <c r="G9" s="370"/>
      <c r="H9" s="178"/>
    </row>
    <row r="10" spans="1:8" ht="15" customHeight="1" x14ac:dyDescent="0.25">
      <c r="A10" s="125"/>
      <c r="B10" s="108"/>
      <c r="C10" s="108"/>
      <c r="D10" s="155">
        <f t="shared" si="0"/>
        <v>0</v>
      </c>
      <c r="E10" s="155" t="s">
        <v>182</v>
      </c>
      <c r="F10" s="155"/>
      <c r="G10" s="370"/>
      <c r="H10" s="178"/>
    </row>
    <row r="11" spans="1:8" ht="15" customHeight="1" x14ac:dyDescent="0.25">
      <c r="A11" s="125"/>
      <c r="B11" s="108"/>
      <c r="C11" s="108"/>
      <c r="D11" s="155">
        <f t="shared" si="0"/>
        <v>0</v>
      </c>
      <c r="E11" s="155"/>
      <c r="F11" s="155"/>
      <c r="G11" s="370"/>
      <c r="H11" s="178"/>
    </row>
    <row r="12" spans="1:8" ht="15" customHeight="1" x14ac:dyDescent="0.25">
      <c r="A12" s="125"/>
      <c r="B12" s="108"/>
      <c r="C12" s="108"/>
      <c r="D12" s="155">
        <f t="shared" si="0"/>
        <v>0</v>
      </c>
      <c r="E12" s="155"/>
      <c r="F12" s="155"/>
      <c r="G12" s="370"/>
      <c r="H12" s="178"/>
    </row>
    <row r="13" spans="1:8" ht="15" customHeight="1" x14ac:dyDescent="0.25">
      <c r="A13" s="125"/>
      <c r="B13" s="108"/>
      <c r="C13" s="108"/>
      <c r="D13" s="155">
        <f t="shared" si="0"/>
        <v>0</v>
      </c>
      <c r="E13" s="155"/>
      <c r="F13" s="155"/>
      <c r="G13" s="370"/>
      <c r="H13" s="126"/>
    </row>
    <row r="14" spans="1:8" ht="15" customHeight="1" x14ac:dyDescent="0.25">
      <c r="A14" s="125"/>
      <c r="B14" s="108"/>
      <c r="C14" s="108"/>
      <c r="D14" s="155">
        <f t="shared" si="0"/>
        <v>0</v>
      </c>
      <c r="E14" s="155"/>
      <c r="F14" s="155"/>
      <c r="G14" s="370"/>
      <c r="H14" s="126"/>
    </row>
    <row r="15" spans="1:8" ht="15" customHeight="1" x14ac:dyDescent="0.25">
      <c r="A15" s="125"/>
      <c r="B15" s="108"/>
      <c r="C15" s="108"/>
      <c r="D15" s="155"/>
      <c r="E15" s="109"/>
      <c r="F15" s="155"/>
      <c r="G15" s="370"/>
      <c r="H15" s="126"/>
    </row>
    <row r="16" spans="1:8" ht="15" customHeight="1" x14ac:dyDescent="0.25">
      <c r="A16" s="125"/>
      <c r="B16" s="108"/>
      <c r="C16" s="108"/>
      <c r="D16" s="155"/>
      <c r="E16" s="109"/>
      <c r="F16" s="155"/>
      <c r="G16" s="370"/>
      <c r="H16" s="126"/>
    </row>
    <row r="17" spans="1:8" ht="15" customHeight="1" x14ac:dyDescent="0.25">
      <c r="A17" s="125"/>
      <c r="B17" s="108"/>
      <c r="C17" s="108"/>
      <c r="D17" s="155"/>
      <c r="E17" s="109"/>
      <c r="F17" s="155"/>
      <c r="G17" s="370"/>
      <c r="H17" s="126"/>
    </row>
    <row r="18" spans="1:8" ht="15" customHeight="1" x14ac:dyDescent="0.25">
      <c r="A18" s="125"/>
      <c r="B18" s="108"/>
      <c r="C18" s="108"/>
      <c r="D18" s="155"/>
      <c r="E18" s="109"/>
      <c r="F18" s="155"/>
      <c r="G18" s="370"/>
      <c r="H18" s="126"/>
    </row>
    <row r="19" spans="1:8" ht="15" customHeight="1" x14ac:dyDescent="0.25">
      <c r="A19" s="125"/>
      <c r="B19" s="108"/>
      <c r="C19" s="108"/>
      <c r="D19" s="155"/>
      <c r="E19" s="109"/>
      <c r="F19" s="155"/>
      <c r="G19" s="370"/>
      <c r="H19" s="126"/>
    </row>
    <row r="20" spans="1:8" ht="15" customHeight="1" x14ac:dyDescent="0.25">
      <c r="A20" s="125"/>
      <c r="B20" s="108"/>
      <c r="C20" s="108"/>
      <c r="D20" s="155"/>
      <c r="E20" s="109"/>
      <c r="F20" s="155"/>
      <c r="G20" s="370"/>
      <c r="H20" s="126"/>
    </row>
    <row r="21" spans="1:8" ht="15" customHeight="1" x14ac:dyDescent="0.25">
      <c r="A21" s="125"/>
      <c r="B21" s="108"/>
      <c r="C21" s="108"/>
      <c r="D21" s="155"/>
      <c r="E21" s="109"/>
      <c r="F21" s="155"/>
      <c r="G21" s="370"/>
      <c r="H21" s="126"/>
    </row>
    <row r="22" spans="1:8" ht="15" customHeight="1" x14ac:dyDescent="0.25">
      <c r="A22" s="125"/>
      <c r="B22" s="108"/>
      <c r="C22" s="108"/>
      <c r="D22" s="155"/>
      <c r="E22" s="109"/>
      <c r="F22" s="155"/>
      <c r="G22" s="370"/>
      <c r="H22" s="126"/>
    </row>
    <row r="23" spans="1:8" ht="15" customHeight="1" x14ac:dyDescent="0.25">
      <c r="A23" s="125"/>
      <c r="B23" s="108"/>
      <c r="C23" s="108"/>
      <c r="D23" s="155"/>
      <c r="E23" s="109"/>
      <c r="F23" s="155"/>
      <c r="G23" s="370"/>
      <c r="H23" s="126"/>
    </row>
    <row r="24" spans="1:8" ht="15" customHeight="1" x14ac:dyDescent="0.25">
      <c r="A24" s="125"/>
      <c r="B24" s="108"/>
      <c r="C24" s="108"/>
      <c r="D24" s="155"/>
      <c r="E24" s="109"/>
      <c r="F24" s="155"/>
      <c r="G24" s="370"/>
      <c r="H24" s="126"/>
    </row>
    <row r="25" spans="1:8" ht="15" customHeight="1" x14ac:dyDescent="0.25">
      <c r="A25" s="125"/>
      <c r="B25" s="108"/>
      <c r="C25" s="108"/>
      <c r="D25" s="155"/>
      <c r="E25" s="109"/>
      <c r="F25" s="155"/>
      <c r="G25" s="370"/>
      <c r="H25" s="126"/>
    </row>
    <row r="26" spans="1:8" ht="15" customHeight="1" x14ac:dyDescent="0.25">
      <c r="A26" s="125"/>
      <c r="B26" s="108"/>
      <c r="C26" s="108"/>
      <c r="D26" s="155"/>
      <c r="E26" s="109"/>
      <c r="F26" s="155"/>
      <c r="G26" s="370"/>
      <c r="H26" s="126"/>
    </row>
    <row r="27" spans="1:8" ht="15" customHeight="1" x14ac:dyDescent="0.25">
      <c r="A27" s="125"/>
      <c r="B27" s="108"/>
      <c r="C27" s="108"/>
      <c r="D27" s="155"/>
      <c r="E27" s="109"/>
      <c r="F27" s="155"/>
      <c r="G27" s="370"/>
      <c r="H27" s="126"/>
    </row>
    <row r="28" spans="1:8" ht="15" customHeight="1" x14ac:dyDescent="0.25">
      <c r="A28" s="125"/>
      <c r="B28" s="108"/>
      <c r="C28" s="108"/>
      <c r="D28" s="155"/>
      <c r="E28" s="109"/>
      <c r="F28" s="155"/>
      <c r="G28" s="370"/>
      <c r="H28" s="126"/>
    </row>
    <row r="29" spans="1:8" ht="15" customHeight="1" x14ac:dyDescent="0.25">
      <c r="A29" s="125"/>
      <c r="B29" s="108"/>
      <c r="C29" s="108"/>
      <c r="D29" s="155"/>
      <c r="E29" s="109"/>
      <c r="F29" s="155"/>
      <c r="G29" s="370"/>
      <c r="H29" s="126"/>
    </row>
    <row r="30" spans="1:8" ht="15" customHeight="1" x14ac:dyDescent="0.25">
      <c r="A30" s="125"/>
      <c r="B30" s="108"/>
      <c r="C30" s="108"/>
      <c r="D30" s="155"/>
      <c r="E30" s="109"/>
      <c r="F30" s="155"/>
      <c r="G30" s="370"/>
      <c r="H30" s="126"/>
    </row>
    <row r="31" spans="1:8" ht="15" customHeight="1" x14ac:dyDescent="0.25">
      <c r="A31" s="125"/>
      <c r="B31" s="108"/>
      <c r="C31" s="108"/>
      <c r="D31" s="155"/>
      <c r="E31" s="109"/>
      <c r="F31" s="155"/>
      <c r="G31" s="370"/>
      <c r="H31" s="126"/>
    </row>
    <row r="32" spans="1:8" ht="15" customHeight="1" x14ac:dyDescent="0.25">
      <c r="A32" s="125"/>
      <c r="B32" s="108"/>
      <c r="C32" s="108"/>
      <c r="D32" s="155"/>
      <c r="E32" s="109"/>
      <c r="F32" s="155"/>
      <c r="G32" s="370"/>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71" t="s">
        <v>128</v>
      </c>
    </row>
    <row r="40" spans="1:8" ht="15" customHeight="1" thickBot="1" x14ac:dyDescent="0.3">
      <c r="A40" s="157"/>
      <c r="B40" s="143"/>
      <c r="C40" s="143"/>
      <c r="D40" s="144"/>
      <c r="E40" s="145"/>
      <c r="F40" s="130"/>
      <c r="G40" s="174"/>
      <c r="H40" s="372"/>
    </row>
    <row r="41" spans="1:8" ht="15" customHeight="1" thickTop="1" x14ac:dyDescent="0.25">
      <c r="A41" s="156"/>
      <c r="B41" s="146"/>
      <c r="C41" s="146"/>
      <c r="D41" s="147"/>
      <c r="E41" s="148"/>
      <c r="F41" s="149"/>
      <c r="G41" s="373">
        <f>SUM(D41:D42)</f>
        <v>0</v>
      </c>
      <c r="H41" s="375">
        <f>SUM(G7:G40)</f>
        <v>0</v>
      </c>
    </row>
    <row r="42" spans="1:8" ht="15" customHeight="1" thickBot="1" x14ac:dyDescent="0.3">
      <c r="A42" s="118"/>
      <c r="B42" s="114"/>
      <c r="C42" s="114"/>
      <c r="D42" s="209"/>
      <c r="E42" s="115"/>
      <c r="F42" s="122"/>
      <c r="G42" s="374"/>
      <c r="H42" s="376"/>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77" t="str">
        <f>"QUANTIDADES RUA OPERAÇÃO TAPA BURACO NA "&amp;UPPER(E10)</f>
        <v>QUANTIDADES RUA OPERAÇÃO TAPA BURACO NA RUA ANTONIO SARKIS</v>
      </c>
      <c r="B45" s="378"/>
      <c r="C45" s="378"/>
      <c r="D45" s="378"/>
      <c r="E45" s="378"/>
      <c r="F45" s="379"/>
      <c r="G45" s="377" t="s">
        <v>136</v>
      </c>
      <c r="H45" s="379"/>
    </row>
    <row r="46" spans="1:8" ht="15.75" customHeight="1" thickBot="1" x14ac:dyDescent="0.3">
      <c r="A46" s="380"/>
      <c r="B46" s="381"/>
      <c r="C46" s="381"/>
      <c r="D46" s="381"/>
      <c r="E46" s="381"/>
      <c r="F46" s="382"/>
      <c r="G46" s="380"/>
      <c r="H46" s="382"/>
    </row>
    <row r="47" spans="1:8" ht="15" customHeight="1" thickTop="1" x14ac:dyDescent="0.25">
      <c r="A47" s="131" t="s">
        <v>102</v>
      </c>
      <c r="B47" s="383" t="s">
        <v>32</v>
      </c>
      <c r="C47" s="384"/>
      <c r="D47" s="132" t="s">
        <v>35</v>
      </c>
      <c r="E47" s="132" t="s">
        <v>124</v>
      </c>
      <c r="F47" s="133" t="s">
        <v>125</v>
      </c>
      <c r="G47" s="156"/>
      <c r="H47" s="179"/>
    </row>
    <row r="48" spans="1:8" ht="15.75" customHeight="1" x14ac:dyDescent="0.25">
      <c r="A48" s="134">
        <v>1</v>
      </c>
      <c r="B48" s="353" t="s">
        <v>106</v>
      </c>
      <c r="C48" s="354"/>
      <c r="D48" s="205" t="s">
        <v>105</v>
      </c>
      <c r="E48" s="135"/>
      <c r="F48" s="136">
        <f>G7</f>
        <v>0</v>
      </c>
      <c r="G48" s="385" t="s">
        <v>112</v>
      </c>
      <c r="H48" s="386"/>
    </row>
    <row r="49" spans="1:8" x14ac:dyDescent="0.25">
      <c r="A49" s="134">
        <v>2</v>
      </c>
      <c r="B49" s="353" t="s">
        <v>112</v>
      </c>
      <c r="C49" s="354"/>
      <c r="D49" s="205" t="s">
        <v>114</v>
      </c>
      <c r="E49" s="213" t="s">
        <v>181</v>
      </c>
      <c r="F49" s="136">
        <f>(23.42)</f>
        <v>23.42</v>
      </c>
      <c r="G49" s="355">
        <f>F49+F57</f>
        <v>23.42</v>
      </c>
      <c r="H49" s="356"/>
    </row>
    <row r="50" spans="1:8" ht="15.75" customHeight="1" x14ac:dyDescent="0.25">
      <c r="A50" s="134">
        <v>3</v>
      </c>
      <c r="B50" s="353" t="s">
        <v>113</v>
      </c>
      <c r="C50" s="354"/>
      <c r="D50" s="205" t="s">
        <v>115</v>
      </c>
      <c r="E50" s="138" t="e">
        <f>#REF!</f>
        <v>#REF!</v>
      </c>
      <c r="F50" s="136" t="e">
        <f>F49*E50</f>
        <v>#REF!</v>
      </c>
      <c r="G50" s="385" t="s">
        <v>137</v>
      </c>
      <c r="H50" s="386"/>
    </row>
    <row r="51" spans="1:8" ht="15" customHeight="1" thickBot="1" x14ac:dyDescent="0.3">
      <c r="A51" s="139">
        <v>4</v>
      </c>
      <c r="B51" s="388" t="s">
        <v>110</v>
      </c>
      <c r="C51" s="389"/>
      <c r="D51" s="206" t="s">
        <v>105</v>
      </c>
      <c r="E51" s="215"/>
      <c r="F51" s="141">
        <f>F48</f>
        <v>0</v>
      </c>
      <c r="G51" s="390" t="e">
        <f>F50+F58</f>
        <v>#REF!</v>
      </c>
      <c r="H51" s="391"/>
    </row>
    <row r="52" spans="1:8" ht="15" customHeight="1" thickTop="1" thickBot="1" x14ac:dyDescent="0.3">
      <c r="A52" s="157"/>
      <c r="B52" s="112"/>
      <c r="C52" s="112"/>
      <c r="D52" s="110"/>
      <c r="E52" s="107"/>
      <c r="F52" s="110"/>
      <c r="G52" s="203"/>
      <c r="H52" s="176"/>
    </row>
    <row r="53" spans="1:8" ht="15" customHeight="1" thickTop="1" x14ac:dyDescent="0.25">
      <c r="A53" s="392"/>
      <c r="B53" s="393"/>
      <c r="C53" s="393"/>
      <c r="D53" s="393"/>
      <c r="E53" s="393"/>
      <c r="F53" s="394"/>
      <c r="G53" s="110"/>
      <c r="H53" s="176"/>
    </row>
    <row r="54" spans="1:8" ht="15.75" customHeight="1" thickBot="1" x14ac:dyDescent="0.3">
      <c r="A54" s="395"/>
      <c r="B54" s="396"/>
      <c r="C54" s="396"/>
      <c r="D54" s="396"/>
      <c r="E54" s="396"/>
      <c r="F54" s="397"/>
      <c r="G54" s="110"/>
      <c r="H54" s="176"/>
    </row>
    <row r="55" spans="1:8" ht="15" customHeight="1" thickTop="1" x14ac:dyDescent="0.25">
      <c r="A55" s="131" t="s">
        <v>102</v>
      </c>
      <c r="B55" s="383" t="s">
        <v>32</v>
      </c>
      <c r="C55" s="384"/>
      <c r="D55" s="132" t="s">
        <v>35</v>
      </c>
      <c r="E55" s="132" t="s">
        <v>124</v>
      </c>
      <c r="F55" s="133" t="s">
        <v>125</v>
      </c>
      <c r="G55" s="203"/>
      <c r="H55" s="211"/>
    </row>
    <row r="56" spans="1:8" ht="15.75" customHeight="1" x14ac:dyDescent="0.25">
      <c r="A56" s="134">
        <v>1</v>
      </c>
      <c r="B56" s="353" t="s">
        <v>106</v>
      </c>
      <c r="C56" s="354"/>
      <c r="D56" s="205" t="s">
        <v>105</v>
      </c>
      <c r="E56" s="135"/>
      <c r="F56" s="136">
        <f>G15</f>
        <v>0</v>
      </c>
      <c r="G56" s="203"/>
      <c r="H56" s="211"/>
    </row>
    <row r="57" spans="1:8" x14ac:dyDescent="0.25">
      <c r="A57" s="134">
        <v>2</v>
      </c>
      <c r="B57" s="353" t="s">
        <v>112</v>
      </c>
      <c r="C57" s="354"/>
      <c r="D57" s="205" t="s">
        <v>114</v>
      </c>
      <c r="E57" s="213"/>
      <c r="F57" s="136">
        <f>E57</f>
        <v>0</v>
      </c>
      <c r="G57" s="203"/>
      <c r="H57" s="211"/>
    </row>
    <row r="58" spans="1:8" ht="15.75" customHeight="1" x14ac:dyDescent="0.25">
      <c r="A58" s="134">
        <v>3</v>
      </c>
      <c r="B58" s="353" t="s">
        <v>113</v>
      </c>
      <c r="C58" s="354"/>
      <c r="D58" s="205" t="s">
        <v>115</v>
      </c>
      <c r="E58" s="138"/>
      <c r="F58" s="136">
        <f>F57*E58</f>
        <v>0</v>
      </c>
      <c r="G58" s="203"/>
      <c r="H58" s="176"/>
    </row>
    <row r="59" spans="1:8" ht="15" customHeight="1" thickBot="1" x14ac:dyDescent="0.3">
      <c r="A59" s="139">
        <v>4</v>
      </c>
      <c r="B59" s="388" t="s">
        <v>110</v>
      </c>
      <c r="C59" s="389"/>
      <c r="D59" s="206" t="s">
        <v>105</v>
      </c>
      <c r="E59" s="215"/>
      <c r="F59" s="141">
        <f>F56</f>
        <v>0</v>
      </c>
      <c r="G59" s="203"/>
      <c r="H59" s="176"/>
    </row>
    <row r="60" spans="1:8" ht="15" customHeight="1" thickTop="1" x14ac:dyDescent="0.25">
      <c r="A60" s="157"/>
      <c r="B60" s="112"/>
      <c r="C60" s="112"/>
      <c r="D60" s="110"/>
      <c r="E60" s="107"/>
      <c r="F60" s="110"/>
      <c r="G60" s="203"/>
      <c r="H60" s="176"/>
    </row>
    <row r="61" spans="1:8" ht="15" customHeight="1" thickBot="1" x14ac:dyDescent="0.3">
      <c r="A61" s="129"/>
      <c r="B61" s="110"/>
      <c r="C61" s="110"/>
      <c r="D61" s="110"/>
      <c r="E61" s="107"/>
      <c r="F61" s="110"/>
      <c r="G61" s="110"/>
      <c r="H61" s="211"/>
    </row>
    <row r="62" spans="1:8" ht="15.75" customHeight="1" thickTop="1" x14ac:dyDescent="0.25">
      <c r="A62" s="392" t="s">
        <v>174</v>
      </c>
      <c r="B62" s="393"/>
      <c r="C62" s="393"/>
      <c r="D62" s="393"/>
      <c r="E62" s="393"/>
      <c r="F62" s="393"/>
      <c r="G62" s="394"/>
      <c r="H62" s="211"/>
    </row>
    <row r="63" spans="1:8" ht="15.75" thickBot="1" x14ac:dyDescent="0.3">
      <c r="A63" s="395"/>
      <c r="B63" s="396"/>
      <c r="C63" s="396"/>
      <c r="D63" s="396"/>
      <c r="E63" s="396"/>
      <c r="F63" s="396"/>
      <c r="G63" s="397"/>
      <c r="H63" s="211"/>
    </row>
    <row r="64" spans="1:8" ht="20.25" customHeight="1" thickTop="1" x14ac:dyDescent="0.25">
      <c r="A64" s="180" t="s">
        <v>102</v>
      </c>
      <c r="B64" s="387" t="s">
        <v>123</v>
      </c>
      <c r="C64" s="387"/>
      <c r="D64" s="212" t="s">
        <v>126</v>
      </c>
      <c r="E64" s="387" t="s">
        <v>124</v>
      </c>
      <c r="F64" s="387"/>
      <c r="G64" s="182" t="s">
        <v>127</v>
      </c>
      <c r="H64" s="211"/>
    </row>
    <row r="65" spans="1:9" ht="20.25" customHeight="1" x14ac:dyDescent="0.25">
      <c r="A65" s="119">
        <v>1</v>
      </c>
      <c r="B65" s="398" t="s">
        <v>109</v>
      </c>
      <c r="C65" s="398"/>
      <c r="D65" s="210" t="s">
        <v>105</v>
      </c>
      <c r="E65" s="399" t="s">
        <v>179</v>
      </c>
      <c r="F65" s="399"/>
      <c r="G65" s="216">
        <f>250*6.2</f>
        <v>1550</v>
      </c>
      <c r="H65" s="211"/>
    </row>
    <row r="66" spans="1:9" ht="27" customHeight="1" x14ac:dyDescent="0.25">
      <c r="A66" s="123">
        <v>2</v>
      </c>
      <c r="B66" s="398" t="s">
        <v>112</v>
      </c>
      <c r="C66" s="398"/>
      <c r="D66" s="210" t="s">
        <v>116</v>
      </c>
      <c r="E66" s="400" t="s">
        <v>178</v>
      </c>
      <c r="F66" s="400"/>
      <c r="G66" s="151">
        <f>26.73+21.52+20+21.38+20.7+22.4</f>
        <v>132.72999999999999</v>
      </c>
      <c r="H66" s="211"/>
    </row>
    <row r="67" spans="1:9" ht="20.25" customHeight="1" x14ac:dyDescent="0.25">
      <c r="A67" s="119">
        <v>3</v>
      </c>
      <c r="B67" s="398" t="s">
        <v>117</v>
      </c>
      <c r="C67" s="398"/>
      <c r="D67" s="210" t="s">
        <v>115</v>
      </c>
      <c r="E67" s="401">
        <v>9.6999999999999993</v>
      </c>
      <c r="F67" s="401"/>
      <c r="G67" s="151">
        <f>G66*E67</f>
        <v>1287.4809999999998</v>
      </c>
      <c r="H67" s="211"/>
    </row>
    <row r="68" spans="1:9" ht="20.25" customHeight="1" x14ac:dyDescent="0.25">
      <c r="A68" s="119">
        <v>4</v>
      </c>
      <c r="B68" s="398" t="s">
        <v>118</v>
      </c>
      <c r="C68" s="398"/>
      <c r="D68" s="210" t="s">
        <v>119</v>
      </c>
      <c r="E68" s="402">
        <f>TRUNC(((G65*0.08)*1.8)/12,0)</f>
        <v>18</v>
      </c>
      <c r="F68" s="402"/>
      <c r="G68" s="151">
        <f>13*E68</f>
        <v>234</v>
      </c>
      <c r="H68" s="211"/>
    </row>
    <row r="69" spans="1:9" ht="20.25" customHeight="1" x14ac:dyDescent="0.25">
      <c r="A69" s="119">
        <v>5</v>
      </c>
      <c r="B69" s="398" t="s">
        <v>121</v>
      </c>
      <c r="C69" s="398"/>
      <c r="D69" s="210" t="s">
        <v>120</v>
      </c>
      <c r="E69" s="403" t="e">
        <f>#REF!</f>
        <v>#REF!</v>
      </c>
      <c r="F69" s="403"/>
      <c r="G69" s="151" t="e">
        <f>G68*E69</f>
        <v>#REF!</v>
      </c>
      <c r="H69" s="211"/>
    </row>
    <row r="70" spans="1:9" ht="20.25" customHeight="1" thickBot="1" x14ac:dyDescent="0.3">
      <c r="A70" s="120">
        <v>6</v>
      </c>
      <c r="B70" s="404" t="s">
        <v>110</v>
      </c>
      <c r="C70" s="404"/>
      <c r="D70" s="214" t="s">
        <v>105</v>
      </c>
      <c r="E70" s="405" t="s">
        <v>179</v>
      </c>
      <c r="F70" s="406"/>
      <c r="G70" s="189">
        <f>185*7.5+197*7.5</f>
        <v>2865</v>
      </c>
      <c r="H70" s="211"/>
      <c r="I70">
        <f>G66/2.5</f>
        <v>53.091999999999999</v>
      </c>
    </row>
    <row r="71" spans="1:9" ht="16.5" thickTop="1" thickBot="1" x14ac:dyDescent="0.3">
      <c r="A71" s="129"/>
      <c r="B71" s="110"/>
      <c r="C71" s="110"/>
      <c r="D71" s="110"/>
      <c r="E71" s="107"/>
      <c r="F71" s="110"/>
      <c r="G71" s="110"/>
      <c r="H71" s="176"/>
      <c r="I71">
        <f>I70/0.04</f>
        <v>1327.3</v>
      </c>
    </row>
    <row r="72" spans="1:9" ht="15.75" customHeight="1" thickTop="1" x14ac:dyDescent="0.25">
      <c r="A72" s="392" t="s">
        <v>171</v>
      </c>
      <c r="B72" s="393"/>
      <c r="C72" s="393"/>
      <c r="D72" s="393"/>
      <c r="E72" s="393"/>
      <c r="F72" s="393"/>
      <c r="G72" s="394"/>
      <c r="H72" s="407" t="s">
        <v>154</v>
      </c>
    </row>
    <row r="73" spans="1:9" ht="15.75" thickBot="1" x14ac:dyDescent="0.3">
      <c r="A73" s="395"/>
      <c r="B73" s="396"/>
      <c r="C73" s="396"/>
      <c r="D73" s="396"/>
      <c r="E73" s="396"/>
      <c r="F73" s="396"/>
      <c r="G73" s="397"/>
      <c r="H73" s="408"/>
    </row>
    <row r="74" spans="1:9" ht="20.25" customHeight="1" thickTop="1" x14ac:dyDescent="0.25">
      <c r="A74" s="180" t="s">
        <v>102</v>
      </c>
      <c r="B74" s="387" t="s">
        <v>123</v>
      </c>
      <c r="C74" s="387"/>
      <c r="D74" s="212" t="s">
        <v>126</v>
      </c>
      <c r="E74" s="387" t="s">
        <v>124</v>
      </c>
      <c r="F74" s="387"/>
      <c r="G74" s="182" t="s">
        <v>127</v>
      </c>
      <c r="H74" s="183"/>
    </row>
    <row r="75" spans="1:9" ht="20.25" customHeight="1" x14ac:dyDescent="0.25">
      <c r="A75" s="119">
        <v>1</v>
      </c>
      <c r="B75" s="409" t="s">
        <v>109</v>
      </c>
      <c r="C75" s="409"/>
      <c r="D75" s="204" t="s">
        <v>105</v>
      </c>
      <c r="E75" s="410" t="s">
        <v>179</v>
      </c>
      <c r="F75" s="410"/>
      <c r="G75" s="150">
        <f>250*6.2</f>
        <v>1550</v>
      </c>
      <c r="H75" s="184">
        <f>G65+G75</f>
        <v>3100</v>
      </c>
    </row>
    <row r="76" spans="1:9" ht="20.25" customHeight="1" x14ac:dyDescent="0.25">
      <c r="A76" s="123">
        <v>2</v>
      </c>
      <c r="B76" s="398" t="s">
        <v>112</v>
      </c>
      <c r="C76" s="398"/>
      <c r="D76" s="210" t="s">
        <v>116</v>
      </c>
      <c r="E76" s="400" t="s">
        <v>180</v>
      </c>
      <c r="F76" s="400"/>
      <c r="G76" s="151">
        <f>26.94+22.57+21.35+20.04+23.12+24.06+23.29</f>
        <v>161.37</v>
      </c>
      <c r="H76" s="184">
        <f t="shared" ref="H76:H80" si="1">G66+G76</f>
        <v>294.10000000000002</v>
      </c>
    </row>
    <row r="77" spans="1:9" ht="20.25" customHeight="1" x14ac:dyDescent="0.25">
      <c r="A77" s="119">
        <v>3</v>
      </c>
      <c r="B77" s="409" t="s">
        <v>117</v>
      </c>
      <c r="C77" s="409"/>
      <c r="D77" s="204" t="s">
        <v>115</v>
      </c>
      <c r="E77" s="413" t="e">
        <f>#REF!</f>
        <v>#REF!</v>
      </c>
      <c r="F77" s="413"/>
      <c r="G77" s="150" t="e">
        <f>G76*E77</f>
        <v>#REF!</v>
      </c>
      <c r="H77" s="184" t="e">
        <f t="shared" si="1"/>
        <v>#REF!</v>
      </c>
    </row>
    <row r="78" spans="1:9" ht="20.25" customHeight="1" x14ac:dyDescent="0.25">
      <c r="A78" s="119">
        <v>4</v>
      </c>
      <c r="B78" s="409" t="s">
        <v>118</v>
      </c>
      <c r="C78" s="409"/>
      <c r="D78" s="204" t="s">
        <v>119</v>
      </c>
      <c r="E78" s="402">
        <v>18</v>
      </c>
      <c r="F78" s="402"/>
      <c r="G78" s="150">
        <f>13*E78</f>
        <v>234</v>
      </c>
      <c r="H78" s="184">
        <f t="shared" si="1"/>
        <v>468</v>
      </c>
    </row>
    <row r="79" spans="1:9" ht="20.25" customHeight="1" x14ac:dyDescent="0.25">
      <c r="A79" s="119">
        <v>5</v>
      </c>
      <c r="B79" s="409" t="s">
        <v>121</v>
      </c>
      <c r="C79" s="409"/>
      <c r="D79" s="204" t="s">
        <v>120</v>
      </c>
      <c r="E79" s="411">
        <v>3.5</v>
      </c>
      <c r="F79" s="411"/>
      <c r="G79" s="150">
        <f>G78*E79</f>
        <v>819</v>
      </c>
      <c r="H79" s="184" t="e">
        <f t="shared" si="1"/>
        <v>#REF!</v>
      </c>
    </row>
    <row r="80" spans="1:9" ht="20.25" customHeight="1" thickBot="1" x14ac:dyDescent="0.3">
      <c r="A80" s="120">
        <v>6</v>
      </c>
      <c r="B80" s="412" t="s">
        <v>110</v>
      </c>
      <c r="C80" s="412"/>
      <c r="D80" s="208" t="s">
        <v>105</v>
      </c>
      <c r="E80" s="405" t="s">
        <v>179</v>
      </c>
      <c r="F80" s="406"/>
      <c r="G80" s="152">
        <f>185*7.5+197*7.5</f>
        <v>2865</v>
      </c>
      <c r="H80" s="185">
        <f t="shared" si="1"/>
        <v>5730</v>
      </c>
      <c r="I80">
        <f>G76/2.5</f>
        <v>64.548000000000002</v>
      </c>
    </row>
    <row r="81" spans="1:9" ht="15.75" thickTop="1" x14ac:dyDescent="0.25">
      <c r="A81" s="129"/>
      <c r="B81" s="110"/>
      <c r="C81" s="110"/>
      <c r="D81" s="110"/>
      <c r="E81" s="107"/>
      <c r="F81" s="110"/>
      <c r="G81" s="110"/>
      <c r="H81" s="176"/>
      <c r="I81">
        <f>I80/0.03</f>
        <v>2151.6000000000004</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workbookViewId="0">
      <selection activeCell="D19" sqref="D19:J19"/>
    </sheetView>
  </sheetViews>
  <sheetFormatPr defaultRowHeight="15" x14ac:dyDescent="0.25"/>
  <cols>
    <col min="11" max="11" width="11.5703125" bestFit="1" customWidth="1"/>
    <col min="15" max="15" width="13.28515625" bestFit="1" customWidth="1"/>
  </cols>
  <sheetData>
    <row r="1" spans="1:15" x14ac:dyDescent="0.25">
      <c r="A1" s="308" t="s">
        <v>30</v>
      </c>
      <c r="B1" s="308"/>
      <c r="C1" s="308"/>
      <c r="D1" s="308"/>
      <c r="E1" s="308"/>
      <c r="F1" s="308"/>
      <c r="G1" s="308"/>
      <c r="H1" s="308"/>
      <c r="I1" s="308"/>
      <c r="J1" s="308"/>
      <c r="K1" s="311" t="s">
        <v>31</v>
      </c>
      <c r="L1" s="311"/>
      <c r="M1" s="311"/>
      <c r="N1" s="311"/>
      <c r="O1" s="311"/>
    </row>
    <row r="2" spans="1:15" x14ac:dyDescent="0.25">
      <c r="A2" s="308"/>
      <c r="B2" s="308"/>
      <c r="C2" s="308"/>
      <c r="D2" s="308"/>
      <c r="E2" s="308"/>
      <c r="F2" s="308"/>
      <c r="G2" s="308"/>
      <c r="H2" s="308"/>
      <c r="I2" s="308"/>
      <c r="J2" s="308"/>
      <c r="K2" s="311"/>
      <c r="L2" s="311"/>
      <c r="M2" s="311"/>
      <c r="N2" s="311"/>
      <c r="O2" s="311"/>
    </row>
    <row r="3" spans="1:15" x14ac:dyDescent="0.25">
      <c r="A3" s="308"/>
      <c r="B3" s="308"/>
      <c r="C3" s="308"/>
      <c r="D3" s="308"/>
      <c r="E3" s="308"/>
      <c r="F3" s="308"/>
      <c r="G3" s="308"/>
      <c r="H3" s="308"/>
      <c r="I3" s="308"/>
      <c r="J3" s="308"/>
      <c r="K3" s="311"/>
      <c r="L3" s="311"/>
      <c r="M3" s="311"/>
      <c r="N3" s="311"/>
      <c r="O3" s="311"/>
    </row>
    <row r="4" spans="1:15" x14ac:dyDescent="0.25">
      <c r="A4" s="308"/>
      <c r="B4" s="308"/>
      <c r="C4" s="308"/>
      <c r="D4" s="308"/>
      <c r="E4" s="308"/>
      <c r="F4" s="308"/>
      <c r="G4" s="308"/>
      <c r="H4" s="308"/>
      <c r="I4" s="308"/>
      <c r="J4" s="308"/>
      <c r="K4" s="311"/>
      <c r="L4" s="311"/>
      <c r="M4" s="311"/>
      <c r="N4" s="311"/>
      <c r="O4" s="311"/>
    </row>
    <row r="5" spans="1:15" ht="45" x14ac:dyDescent="0.25">
      <c r="A5" s="45" t="s">
        <v>8</v>
      </c>
      <c r="B5" s="45"/>
      <c r="C5" s="45" t="s">
        <v>32</v>
      </c>
      <c r="D5" s="313" t="s">
        <v>33</v>
      </c>
      <c r="E5" s="313"/>
      <c r="F5" s="313"/>
      <c r="G5" s="313"/>
      <c r="H5" s="313"/>
      <c r="I5" s="313"/>
      <c r="J5" s="313"/>
      <c r="K5" s="38" t="s">
        <v>34</v>
      </c>
      <c r="L5" s="46" t="s">
        <v>35</v>
      </c>
      <c r="M5" s="45" t="s">
        <v>101</v>
      </c>
      <c r="N5" s="45" t="s">
        <v>100</v>
      </c>
      <c r="O5" s="45" t="s">
        <v>99</v>
      </c>
    </row>
    <row r="6" spans="1:15" x14ac:dyDescent="0.25">
      <c r="A6" s="21"/>
      <c r="B6" s="21"/>
      <c r="C6" s="21">
        <v>1</v>
      </c>
      <c r="D6" s="308" t="s">
        <v>36</v>
      </c>
      <c r="E6" s="308"/>
      <c r="F6" s="308"/>
      <c r="G6" s="308"/>
      <c r="H6" s="308"/>
      <c r="I6" s="308"/>
      <c r="J6" s="308"/>
      <c r="K6" s="22"/>
      <c r="L6" s="29"/>
      <c r="M6" s="22"/>
      <c r="N6" s="22"/>
      <c r="O6" s="22"/>
    </row>
    <row r="7" spans="1:15" x14ac:dyDescent="0.25">
      <c r="A7" s="23">
        <v>90106</v>
      </c>
      <c r="B7" s="21"/>
      <c r="C7" s="23" t="s">
        <v>37</v>
      </c>
      <c r="D7" s="24" t="s">
        <v>38</v>
      </c>
      <c r="E7" s="21"/>
      <c r="F7" s="21"/>
      <c r="G7" s="21"/>
      <c r="H7" s="21"/>
      <c r="I7" s="21"/>
      <c r="J7" s="21"/>
      <c r="K7" s="25">
        <v>50</v>
      </c>
      <c r="L7" s="66" t="s">
        <v>39</v>
      </c>
      <c r="M7" s="27">
        <v>9.3000000000000007</v>
      </c>
      <c r="N7" s="26">
        <v>11.55</v>
      </c>
      <c r="O7" s="28">
        <f>K7*N7</f>
        <v>577.5</v>
      </c>
    </row>
    <row r="8" spans="1:15" x14ac:dyDescent="0.25">
      <c r="A8" s="23">
        <v>6454</v>
      </c>
      <c r="B8" s="24"/>
      <c r="C8" s="23" t="s">
        <v>40</v>
      </c>
      <c r="D8" s="24" t="s">
        <v>41</v>
      </c>
      <c r="E8" s="24"/>
      <c r="F8" s="24"/>
      <c r="G8" s="24"/>
      <c r="H8" s="24"/>
      <c r="I8" s="24"/>
      <c r="J8" s="24"/>
      <c r="K8" s="25">
        <v>50</v>
      </c>
      <c r="L8" s="66" t="s">
        <v>39</v>
      </c>
      <c r="M8" s="27">
        <v>138.63999999999999</v>
      </c>
      <c r="N8" s="26">
        <v>172.23</v>
      </c>
      <c r="O8" s="28">
        <f>K8*N8</f>
        <v>8611.5</v>
      </c>
    </row>
    <row r="9" spans="1:15" x14ac:dyDescent="0.25">
      <c r="A9" s="24"/>
      <c r="B9" s="24"/>
      <c r="C9" s="29"/>
      <c r="D9" s="300" t="s">
        <v>42</v>
      </c>
      <c r="E9" s="300"/>
      <c r="F9" s="300"/>
      <c r="G9" s="300"/>
      <c r="H9" s="300"/>
      <c r="I9" s="300"/>
      <c r="J9" s="300"/>
      <c r="K9" s="24"/>
      <c r="L9" s="32"/>
      <c r="M9" s="24"/>
      <c r="N9" s="24"/>
      <c r="O9" s="30">
        <f>SUM(O7:O8)</f>
        <v>9189</v>
      </c>
    </row>
    <row r="10" spans="1:15" x14ac:dyDescent="0.25">
      <c r="A10" s="21"/>
      <c r="B10" s="21"/>
      <c r="C10" s="21">
        <v>2</v>
      </c>
      <c r="D10" s="308" t="s">
        <v>43</v>
      </c>
      <c r="E10" s="308"/>
      <c r="F10" s="308"/>
      <c r="G10" s="308"/>
      <c r="H10" s="308"/>
      <c r="I10" s="308"/>
      <c r="J10" s="308"/>
      <c r="K10" s="22"/>
      <c r="L10" s="29"/>
      <c r="M10" s="22"/>
      <c r="N10" s="22"/>
      <c r="O10" s="22"/>
    </row>
    <row r="11" spans="1:15" x14ac:dyDescent="0.25">
      <c r="A11" s="23" t="s">
        <v>44</v>
      </c>
      <c r="B11" s="23" t="s">
        <v>45</v>
      </c>
      <c r="C11" s="23" t="s">
        <v>46</v>
      </c>
      <c r="D11" s="294" t="s">
        <v>47</v>
      </c>
      <c r="E11" s="295"/>
      <c r="F11" s="295"/>
      <c r="G11" s="295"/>
      <c r="H11" s="295"/>
      <c r="I11" s="295"/>
      <c r="J11" s="296"/>
      <c r="K11" s="25">
        <v>200</v>
      </c>
      <c r="L11" s="66" t="s">
        <v>48</v>
      </c>
      <c r="M11" s="27">
        <v>9.42</v>
      </c>
      <c r="N11" s="31">
        <v>11.7</v>
      </c>
      <c r="O11" s="28">
        <f>K11*N11</f>
        <v>2340</v>
      </c>
    </row>
    <row r="12" spans="1:15" x14ac:dyDescent="0.25">
      <c r="A12" s="23">
        <v>85366</v>
      </c>
      <c r="B12" s="24" t="s">
        <v>49</v>
      </c>
      <c r="C12" s="23" t="s">
        <v>50</v>
      </c>
      <c r="D12" s="294" t="s">
        <v>51</v>
      </c>
      <c r="E12" s="295"/>
      <c r="F12" s="295"/>
      <c r="G12" s="295"/>
      <c r="H12" s="295"/>
      <c r="I12" s="295"/>
      <c r="J12" s="296"/>
      <c r="K12" s="25">
        <v>1000</v>
      </c>
      <c r="L12" s="66" t="s">
        <v>48</v>
      </c>
      <c r="M12" s="27">
        <v>17.7</v>
      </c>
      <c r="N12" s="26">
        <v>21.99</v>
      </c>
      <c r="O12" s="28">
        <f>K12*N12</f>
        <v>21990</v>
      </c>
    </row>
    <row r="13" spans="1:15" x14ac:dyDescent="0.25">
      <c r="A13" s="23">
        <v>74010</v>
      </c>
      <c r="B13" s="24" t="s">
        <v>49</v>
      </c>
      <c r="C13" s="32" t="s">
        <v>52</v>
      </c>
      <c r="D13" s="294" t="s">
        <v>53</v>
      </c>
      <c r="E13" s="295"/>
      <c r="F13" s="295"/>
      <c r="G13" s="295"/>
      <c r="H13" s="295"/>
      <c r="I13" s="295"/>
      <c r="J13" s="296"/>
      <c r="K13" s="25">
        <v>6700</v>
      </c>
      <c r="L13" s="66" t="s">
        <v>39</v>
      </c>
      <c r="M13" s="27">
        <v>1.46</v>
      </c>
      <c r="N13" s="26">
        <v>1.81</v>
      </c>
      <c r="O13" s="28">
        <f>K13*N13</f>
        <v>12127</v>
      </c>
    </row>
    <row r="14" spans="1:15" x14ac:dyDescent="0.25">
      <c r="A14" s="23">
        <v>83358</v>
      </c>
      <c r="B14" s="24" t="s">
        <v>49</v>
      </c>
      <c r="C14" s="23" t="s">
        <v>54</v>
      </c>
      <c r="D14" s="294" t="s">
        <v>55</v>
      </c>
      <c r="E14" s="295"/>
      <c r="F14" s="295"/>
      <c r="G14" s="295"/>
      <c r="H14" s="295"/>
      <c r="I14" s="295"/>
      <c r="J14" s="296"/>
      <c r="K14" s="25">
        <v>33500</v>
      </c>
      <c r="L14" s="66" t="s">
        <v>56</v>
      </c>
      <c r="M14" s="27">
        <v>1.32</v>
      </c>
      <c r="N14" s="31">
        <v>1.64</v>
      </c>
      <c r="O14" s="28">
        <f>K14*N14</f>
        <v>54940</v>
      </c>
    </row>
    <row r="15" spans="1:15" x14ac:dyDescent="0.25">
      <c r="A15" s="23" t="s">
        <v>57</v>
      </c>
      <c r="B15" s="23" t="s">
        <v>45</v>
      </c>
      <c r="C15" s="23" t="s">
        <v>58</v>
      </c>
      <c r="D15" s="294" t="s">
        <v>59</v>
      </c>
      <c r="E15" s="295"/>
      <c r="F15" s="295"/>
      <c r="G15" s="295"/>
      <c r="H15" s="295"/>
      <c r="I15" s="295"/>
      <c r="J15" s="296"/>
      <c r="K15" s="25">
        <v>250</v>
      </c>
      <c r="L15" s="66" t="s">
        <v>60</v>
      </c>
      <c r="M15" s="27">
        <v>1.43</v>
      </c>
      <c r="N15" s="31">
        <v>1.78</v>
      </c>
      <c r="O15" s="28">
        <f>K15*N15</f>
        <v>445</v>
      </c>
    </row>
    <row r="16" spans="1:15" x14ac:dyDescent="0.25">
      <c r="A16" s="23">
        <v>2020</v>
      </c>
      <c r="B16" s="23" t="s">
        <v>45</v>
      </c>
      <c r="C16" s="23" t="s">
        <v>61</v>
      </c>
      <c r="D16" s="294" t="s">
        <v>62</v>
      </c>
      <c r="E16" s="295"/>
      <c r="F16" s="295"/>
      <c r="G16" s="295"/>
      <c r="H16" s="295"/>
      <c r="I16" s="295"/>
      <c r="J16" s="296"/>
      <c r="K16" s="25"/>
      <c r="L16" s="66"/>
      <c r="M16" s="27"/>
      <c r="N16" s="31"/>
      <c r="O16" s="28"/>
    </row>
    <row r="17" spans="1:15" x14ac:dyDescent="0.25">
      <c r="A17" s="23" t="s">
        <v>6</v>
      </c>
      <c r="B17" s="23" t="s">
        <v>45</v>
      </c>
      <c r="C17" s="23" t="s">
        <v>63</v>
      </c>
      <c r="D17" s="294" t="s">
        <v>64</v>
      </c>
      <c r="E17" s="295"/>
      <c r="F17" s="295"/>
      <c r="G17" s="295"/>
      <c r="H17" s="295"/>
      <c r="I17" s="295"/>
      <c r="J17" s="296"/>
      <c r="K17" s="25">
        <v>25000</v>
      </c>
      <c r="L17" s="66" t="s">
        <v>65</v>
      </c>
      <c r="M17" s="27">
        <v>6.97</v>
      </c>
      <c r="N17" s="31">
        <v>8.66</v>
      </c>
      <c r="O17" s="28">
        <f t="shared" ref="O17:O26" si="0">K17*N17</f>
        <v>216500</v>
      </c>
    </row>
    <row r="18" spans="1:15" x14ac:dyDescent="0.25">
      <c r="A18" s="23" t="s">
        <v>7</v>
      </c>
      <c r="B18" s="23" t="s">
        <v>45</v>
      </c>
      <c r="C18" s="23" t="s">
        <v>66</v>
      </c>
      <c r="D18" s="294" t="s">
        <v>67</v>
      </c>
      <c r="E18" s="295"/>
      <c r="F18" s="295"/>
      <c r="G18" s="295"/>
      <c r="H18" s="295"/>
      <c r="I18" s="295"/>
      <c r="J18" s="296"/>
      <c r="K18" s="25">
        <v>84000</v>
      </c>
      <c r="L18" s="66" t="s">
        <v>65</v>
      </c>
      <c r="M18" s="27">
        <v>8.5299999999999994</v>
      </c>
      <c r="N18" s="31">
        <v>10.6</v>
      </c>
      <c r="O18" s="28">
        <f t="shared" si="0"/>
        <v>890400</v>
      </c>
    </row>
    <row r="19" spans="1:15" ht="30" x14ac:dyDescent="0.25">
      <c r="A19" s="23">
        <v>4011486</v>
      </c>
      <c r="B19" s="23" t="s">
        <v>68</v>
      </c>
      <c r="C19" s="23" t="s">
        <v>69</v>
      </c>
      <c r="D19" s="294" t="s">
        <v>70</v>
      </c>
      <c r="E19" s="295"/>
      <c r="F19" s="295"/>
      <c r="G19" s="295"/>
      <c r="H19" s="295"/>
      <c r="I19" s="295"/>
      <c r="J19" s="296"/>
      <c r="K19" s="25">
        <v>200</v>
      </c>
      <c r="L19" s="66" t="s">
        <v>71</v>
      </c>
      <c r="M19" s="47">
        <v>80.010000000000005</v>
      </c>
      <c r="N19" s="106">
        <v>99.4</v>
      </c>
      <c r="O19" s="28">
        <f t="shared" si="0"/>
        <v>19880</v>
      </c>
    </row>
    <row r="20" spans="1:15" x14ac:dyDescent="0.25">
      <c r="A20" s="23">
        <v>72961</v>
      </c>
      <c r="B20" s="24" t="s">
        <v>49</v>
      </c>
      <c r="C20" s="23" t="s">
        <v>72</v>
      </c>
      <c r="D20" s="294" t="s">
        <v>73</v>
      </c>
      <c r="E20" s="295"/>
      <c r="F20" s="295"/>
      <c r="G20" s="295"/>
      <c r="H20" s="295"/>
      <c r="I20" s="295"/>
      <c r="J20" s="296"/>
      <c r="K20" s="25">
        <v>1000</v>
      </c>
      <c r="L20" s="66" t="s">
        <v>65</v>
      </c>
      <c r="M20" s="27">
        <v>1.1200000000000001</v>
      </c>
      <c r="N20" s="31">
        <v>1.39</v>
      </c>
      <c r="O20" s="28">
        <f t="shared" si="0"/>
        <v>1390</v>
      </c>
    </row>
    <row r="21" spans="1:15" x14ac:dyDescent="0.25">
      <c r="A21" s="23">
        <v>73710</v>
      </c>
      <c r="B21" s="33" t="s">
        <v>49</v>
      </c>
      <c r="C21" s="23">
        <v>2.7</v>
      </c>
      <c r="D21" s="294" t="s">
        <v>74</v>
      </c>
      <c r="E21" s="295"/>
      <c r="F21" s="295"/>
      <c r="G21" s="295"/>
      <c r="H21" s="295"/>
      <c r="I21" s="295"/>
      <c r="J21" s="296"/>
      <c r="K21" s="25">
        <v>200</v>
      </c>
      <c r="L21" s="66" t="s">
        <v>71</v>
      </c>
      <c r="M21" s="27">
        <v>86.82</v>
      </c>
      <c r="N21" s="31">
        <v>107.86</v>
      </c>
      <c r="O21" s="28">
        <f t="shared" si="0"/>
        <v>21572</v>
      </c>
    </row>
    <row r="22" spans="1:15" x14ac:dyDescent="0.25">
      <c r="A22" s="23">
        <v>95875</v>
      </c>
      <c r="B22" s="33" t="s">
        <v>49</v>
      </c>
      <c r="C22" s="23" t="s">
        <v>75</v>
      </c>
      <c r="D22" s="294" t="s">
        <v>76</v>
      </c>
      <c r="E22" s="295"/>
      <c r="F22" s="295"/>
      <c r="G22" s="295"/>
      <c r="H22" s="295"/>
      <c r="I22" s="295"/>
      <c r="J22" s="296"/>
      <c r="K22" s="25">
        <v>2000</v>
      </c>
      <c r="L22" s="66" t="s">
        <v>56</v>
      </c>
      <c r="M22" s="27">
        <v>0.91</v>
      </c>
      <c r="N22" s="31">
        <v>1.1299999999999999</v>
      </c>
      <c r="O22" s="28">
        <f t="shared" si="0"/>
        <v>2260</v>
      </c>
    </row>
    <row r="23" spans="1:15" x14ac:dyDescent="0.25">
      <c r="A23" s="23">
        <v>72945</v>
      </c>
      <c r="B23" s="33" t="s">
        <v>49</v>
      </c>
      <c r="C23" s="23" t="s">
        <v>77</v>
      </c>
      <c r="D23" s="294" t="s">
        <v>78</v>
      </c>
      <c r="E23" s="295"/>
      <c r="F23" s="295"/>
      <c r="G23" s="295"/>
      <c r="H23" s="295"/>
      <c r="I23" s="295"/>
      <c r="J23" s="296"/>
      <c r="K23" s="25">
        <v>1000</v>
      </c>
      <c r="L23" s="66" t="s">
        <v>65</v>
      </c>
      <c r="M23" s="27">
        <v>4.1900000000000004</v>
      </c>
      <c r="N23" s="31">
        <v>5.21</v>
      </c>
      <c r="O23" s="28">
        <f t="shared" si="0"/>
        <v>5210</v>
      </c>
    </row>
    <row r="24" spans="1:15" x14ac:dyDescent="0.25">
      <c r="A24" s="23">
        <v>72942</v>
      </c>
      <c r="B24" s="33" t="s">
        <v>49</v>
      </c>
      <c r="C24" s="23" t="s">
        <v>79</v>
      </c>
      <c r="D24" s="294" t="s">
        <v>80</v>
      </c>
      <c r="E24" s="295"/>
      <c r="F24" s="295"/>
      <c r="G24" s="295"/>
      <c r="H24" s="295"/>
      <c r="I24" s="295"/>
      <c r="J24" s="296"/>
      <c r="K24" s="25">
        <v>109000</v>
      </c>
      <c r="L24" s="66" t="s">
        <v>65</v>
      </c>
      <c r="M24" s="27">
        <v>1.1599999999999999</v>
      </c>
      <c r="N24" s="31">
        <v>1.44</v>
      </c>
      <c r="O24" s="28">
        <f t="shared" si="0"/>
        <v>156960</v>
      </c>
    </row>
    <row r="25" spans="1:15" x14ac:dyDescent="0.25">
      <c r="A25" s="23" t="s">
        <v>5</v>
      </c>
      <c r="B25" s="33" t="s">
        <v>45</v>
      </c>
      <c r="C25" s="23" t="s">
        <v>81</v>
      </c>
      <c r="D25" s="297" t="s">
        <v>82</v>
      </c>
      <c r="E25" s="298"/>
      <c r="F25" s="298"/>
      <c r="G25" s="298"/>
      <c r="H25" s="298"/>
      <c r="I25" s="298"/>
      <c r="J25" s="299"/>
      <c r="K25" s="25">
        <v>16000</v>
      </c>
      <c r="L25" s="66" t="s">
        <v>83</v>
      </c>
      <c r="M25" s="31">
        <v>288.41000000000003</v>
      </c>
      <c r="N25" s="31">
        <v>358.29</v>
      </c>
      <c r="O25" s="28">
        <f t="shared" si="0"/>
        <v>5732640</v>
      </c>
    </row>
    <row r="26" spans="1:15" x14ac:dyDescent="0.25">
      <c r="A26" s="23">
        <v>95590</v>
      </c>
      <c r="B26" s="33" t="s">
        <v>49</v>
      </c>
      <c r="C26" s="23" t="s">
        <v>84</v>
      </c>
      <c r="D26" s="294" t="s">
        <v>85</v>
      </c>
      <c r="E26" s="295"/>
      <c r="F26" s="295"/>
      <c r="G26" s="295"/>
      <c r="H26" s="295"/>
      <c r="I26" s="295"/>
      <c r="J26" s="296"/>
      <c r="K26" s="25">
        <v>160000</v>
      </c>
      <c r="L26" s="66" t="s">
        <v>86</v>
      </c>
      <c r="M26" s="27">
        <v>0.65</v>
      </c>
      <c r="N26" s="31">
        <v>0.81</v>
      </c>
      <c r="O26" s="28">
        <f t="shared" si="0"/>
        <v>129600.00000000001</v>
      </c>
    </row>
    <row r="27" spans="1:15" x14ac:dyDescent="0.25">
      <c r="A27" s="24"/>
      <c r="B27" s="24"/>
      <c r="C27" s="29"/>
      <c r="D27" s="300" t="s">
        <v>42</v>
      </c>
      <c r="E27" s="300"/>
      <c r="F27" s="300"/>
      <c r="G27" s="300"/>
      <c r="H27" s="300"/>
      <c r="I27" s="300"/>
      <c r="J27" s="300"/>
      <c r="K27" s="24"/>
      <c r="L27" s="32"/>
      <c r="M27" s="24"/>
      <c r="N27" s="24"/>
      <c r="O27" s="30">
        <f>SUM(O11:O26)</f>
        <v>7268254</v>
      </c>
    </row>
    <row r="28" spans="1:15" x14ac:dyDescent="0.25">
      <c r="A28" s="21"/>
      <c r="B28" s="21"/>
      <c r="C28" s="21">
        <v>3</v>
      </c>
      <c r="D28" s="308" t="s">
        <v>87</v>
      </c>
      <c r="E28" s="308"/>
      <c r="F28" s="308"/>
      <c r="G28" s="308"/>
      <c r="H28" s="308"/>
      <c r="I28" s="308"/>
      <c r="J28" s="308"/>
      <c r="K28" s="22"/>
      <c r="L28" s="29"/>
      <c r="M28" s="22"/>
      <c r="N28" s="22"/>
      <c r="O28" s="22"/>
    </row>
    <row r="29" spans="1:15" ht="30" x14ac:dyDescent="0.25">
      <c r="A29" s="23">
        <v>4915678</v>
      </c>
      <c r="B29" s="33" t="s">
        <v>68</v>
      </c>
      <c r="C29" s="23" t="s">
        <v>88</v>
      </c>
      <c r="D29" s="297" t="s">
        <v>89</v>
      </c>
      <c r="E29" s="298"/>
      <c r="F29" s="298"/>
      <c r="G29" s="298"/>
      <c r="H29" s="298"/>
      <c r="I29" s="298"/>
      <c r="J29" s="299"/>
      <c r="K29" s="25">
        <v>7100</v>
      </c>
      <c r="L29" s="66" t="s">
        <v>90</v>
      </c>
      <c r="M29" s="31">
        <v>286.45</v>
      </c>
      <c r="N29" s="31">
        <v>355.86</v>
      </c>
      <c r="O29" s="28">
        <f>K29*N29</f>
        <v>2526606</v>
      </c>
    </row>
    <row r="30" spans="1:15" x14ac:dyDescent="0.25">
      <c r="A30" s="23">
        <v>93590</v>
      </c>
      <c r="B30" s="33" t="s">
        <v>49</v>
      </c>
      <c r="C30" s="23" t="s">
        <v>91</v>
      </c>
      <c r="D30" s="294" t="s">
        <v>92</v>
      </c>
      <c r="E30" s="295"/>
      <c r="F30" s="295"/>
      <c r="G30" s="295"/>
      <c r="H30" s="295"/>
      <c r="I30" s="295"/>
      <c r="J30" s="296"/>
      <c r="K30" s="25">
        <v>70000</v>
      </c>
      <c r="L30" s="66" t="s">
        <v>93</v>
      </c>
      <c r="M30" s="27">
        <v>0.65</v>
      </c>
      <c r="N30" s="31">
        <v>0.81</v>
      </c>
      <c r="O30" s="28">
        <f>K30*N30</f>
        <v>56700.000000000007</v>
      </c>
    </row>
    <row r="31" spans="1:15" x14ac:dyDescent="0.25">
      <c r="A31" s="24"/>
      <c r="B31" s="24"/>
      <c r="C31" s="29"/>
      <c r="D31" s="300" t="s">
        <v>42</v>
      </c>
      <c r="E31" s="300"/>
      <c r="F31" s="300"/>
      <c r="G31" s="300"/>
      <c r="H31" s="300"/>
      <c r="I31" s="300"/>
      <c r="J31" s="300"/>
      <c r="K31" s="24"/>
      <c r="L31" s="32"/>
      <c r="M31" s="24"/>
      <c r="N31" s="24"/>
      <c r="O31" s="30">
        <f>SUM(O29:O30)</f>
        <v>2583306</v>
      </c>
    </row>
    <row r="32" spans="1:15" x14ac:dyDescent="0.25">
      <c r="A32" s="23"/>
      <c r="B32" s="33"/>
      <c r="C32" s="23"/>
      <c r="D32" s="294"/>
      <c r="E32" s="295"/>
      <c r="F32" s="295"/>
      <c r="G32" s="295"/>
      <c r="H32" s="295"/>
      <c r="I32" s="295"/>
      <c r="J32" s="296"/>
      <c r="K32" s="25"/>
      <c r="L32" s="66"/>
      <c r="M32" s="27"/>
      <c r="N32" s="31"/>
      <c r="O32" s="28"/>
    </row>
    <row r="33" spans="1:15" x14ac:dyDescent="0.25">
      <c r="A33" s="23"/>
      <c r="B33" s="33"/>
      <c r="C33" s="23"/>
      <c r="D33" s="294"/>
      <c r="E33" s="295"/>
      <c r="F33" s="295"/>
      <c r="G33" s="295"/>
      <c r="H33" s="295"/>
      <c r="I33" s="295"/>
      <c r="J33" s="296"/>
      <c r="K33" s="25"/>
      <c r="L33" s="66"/>
      <c r="M33" s="27"/>
      <c r="N33" s="31"/>
      <c r="O33" s="28"/>
    </row>
    <row r="34" spans="1:15" x14ac:dyDescent="0.25">
      <c r="A34" s="23"/>
      <c r="B34" s="33"/>
      <c r="C34" s="23"/>
      <c r="D34" s="294"/>
      <c r="E34" s="295"/>
      <c r="F34" s="295"/>
      <c r="G34" s="295"/>
      <c r="H34" s="295"/>
      <c r="I34" s="295"/>
      <c r="J34" s="296"/>
      <c r="K34" s="25"/>
      <c r="L34" s="66"/>
      <c r="M34" s="27"/>
      <c r="N34" s="31"/>
      <c r="O34" s="28"/>
    </row>
    <row r="35" spans="1:15" x14ac:dyDescent="0.25">
      <c r="A35" s="23"/>
      <c r="B35" s="33"/>
      <c r="C35" s="23"/>
      <c r="D35" s="294"/>
      <c r="E35" s="295"/>
      <c r="F35" s="295"/>
      <c r="G35" s="295"/>
      <c r="H35" s="295"/>
      <c r="I35" s="295"/>
      <c r="J35" s="296"/>
      <c r="K35" s="25"/>
      <c r="L35" s="66"/>
      <c r="M35" s="27"/>
      <c r="N35" s="31"/>
      <c r="O35" s="28"/>
    </row>
    <row r="36" spans="1:15" x14ac:dyDescent="0.25">
      <c r="A36" s="24"/>
      <c r="B36" s="24"/>
      <c r="C36" s="24"/>
      <c r="D36" s="24"/>
      <c r="E36" s="24"/>
      <c r="F36" s="24"/>
      <c r="G36" s="24"/>
      <c r="H36" s="24"/>
      <c r="I36" s="24"/>
      <c r="J36" s="34" t="s">
        <v>94</v>
      </c>
      <c r="K36" s="24"/>
      <c r="L36" s="32"/>
      <c r="M36" s="24"/>
      <c r="N36" s="24"/>
      <c r="O36" s="30">
        <f>O31+O27+O9</f>
        <v>9860749</v>
      </c>
    </row>
    <row r="37" spans="1:15" x14ac:dyDescent="0.25">
      <c r="A37" s="35" t="s">
        <v>95</v>
      </c>
    </row>
    <row r="38" spans="1:15"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8"/>
  <sheetViews>
    <sheetView view="pageBreakPreview" topLeftCell="A16" zoomScale="85" zoomScaleSheetLayoutView="85" workbookViewId="0">
      <selection activeCell="B8" sqref="B8:B9"/>
    </sheetView>
  </sheetViews>
  <sheetFormatPr defaultRowHeight="15" x14ac:dyDescent="0.25"/>
  <cols>
    <col min="1" max="1" width="10.28515625" customWidth="1"/>
    <col min="10" max="10" width="36.85546875" customWidth="1"/>
    <col min="11" max="11" width="11.5703125" bestFit="1" customWidth="1"/>
    <col min="14" max="14" width="11" bestFit="1" customWidth="1"/>
    <col min="15" max="15" width="13.28515625" bestFit="1" customWidth="1"/>
  </cols>
  <sheetData>
    <row r="1" spans="1:19" x14ac:dyDescent="0.25">
      <c r="A1" s="308" t="s">
        <v>30</v>
      </c>
      <c r="B1" s="308"/>
      <c r="C1" s="308"/>
      <c r="D1" s="308"/>
      <c r="E1" s="308"/>
      <c r="F1" s="308"/>
      <c r="G1" s="308"/>
      <c r="H1" s="308"/>
      <c r="I1" s="308"/>
      <c r="J1" s="308"/>
      <c r="K1" s="311" t="s">
        <v>31</v>
      </c>
      <c r="L1" s="311"/>
      <c r="M1" s="311"/>
      <c r="N1" s="311"/>
      <c r="O1" s="311"/>
    </row>
    <row r="2" spans="1:19" x14ac:dyDescent="0.25">
      <c r="A2" s="308"/>
      <c r="B2" s="308"/>
      <c r="C2" s="308"/>
      <c r="D2" s="308"/>
      <c r="E2" s="308"/>
      <c r="F2" s="308"/>
      <c r="G2" s="308"/>
      <c r="H2" s="308"/>
      <c r="I2" s="308"/>
      <c r="J2" s="308"/>
      <c r="K2" s="311"/>
      <c r="L2" s="311"/>
      <c r="M2" s="311"/>
      <c r="N2" s="311"/>
      <c r="O2" s="311"/>
    </row>
    <row r="3" spans="1:19" x14ac:dyDescent="0.25">
      <c r="A3" s="308"/>
      <c r="B3" s="308"/>
      <c r="C3" s="308"/>
      <c r="D3" s="308"/>
      <c r="E3" s="308"/>
      <c r="F3" s="308"/>
      <c r="G3" s="308"/>
      <c r="H3" s="308"/>
      <c r="I3" s="308"/>
      <c r="J3" s="308"/>
      <c r="K3" s="311"/>
      <c r="L3" s="311"/>
      <c r="M3" s="311"/>
      <c r="N3" s="311"/>
      <c r="O3" s="311"/>
    </row>
    <row r="4" spans="1:19" x14ac:dyDescent="0.25">
      <c r="A4" s="308"/>
      <c r="B4" s="308"/>
      <c r="C4" s="308"/>
      <c r="D4" s="308"/>
      <c r="E4" s="308"/>
      <c r="F4" s="308"/>
      <c r="G4" s="308"/>
      <c r="H4" s="308"/>
      <c r="I4" s="308"/>
      <c r="J4" s="308"/>
      <c r="K4" s="311"/>
      <c r="L4" s="311"/>
      <c r="M4" s="311"/>
      <c r="N4" s="311"/>
      <c r="O4" s="311"/>
    </row>
    <row r="5" spans="1:19" ht="45" x14ac:dyDescent="0.25">
      <c r="A5" s="45" t="s">
        <v>8</v>
      </c>
      <c r="B5" s="45"/>
      <c r="C5" s="45" t="s">
        <v>32</v>
      </c>
      <c r="D5" s="313" t="s">
        <v>33</v>
      </c>
      <c r="E5" s="313"/>
      <c r="F5" s="313"/>
      <c r="G5" s="313"/>
      <c r="H5" s="313"/>
      <c r="I5" s="313"/>
      <c r="J5" s="313"/>
      <c r="K5" s="38" t="s">
        <v>34</v>
      </c>
      <c r="L5" s="38" t="s">
        <v>35</v>
      </c>
      <c r="M5" s="45" t="s">
        <v>98</v>
      </c>
      <c r="N5" s="45" t="s">
        <v>97</v>
      </c>
      <c r="O5" s="45" t="s">
        <v>99</v>
      </c>
      <c r="Q5" s="54">
        <f>N7/M7</f>
        <v>1.2419354838709675</v>
      </c>
      <c r="R5">
        <v>1.2419354838709677</v>
      </c>
    </row>
    <row r="6" spans="1:19" x14ac:dyDescent="0.25">
      <c r="A6" s="68"/>
      <c r="B6" s="68"/>
      <c r="C6" s="68">
        <v>1</v>
      </c>
      <c r="D6" s="301" t="s">
        <v>36</v>
      </c>
      <c r="E6" s="301"/>
      <c r="F6" s="301"/>
      <c r="G6" s="301"/>
      <c r="H6" s="301"/>
      <c r="I6" s="301"/>
      <c r="J6" s="301"/>
      <c r="K6" s="69"/>
      <c r="L6" s="69"/>
      <c r="M6" s="70"/>
      <c r="N6" s="70"/>
      <c r="O6" s="69"/>
    </row>
    <row r="7" spans="1:19" x14ac:dyDescent="0.25">
      <c r="A7" s="23">
        <v>90106</v>
      </c>
      <c r="B7" s="21"/>
      <c r="C7" s="23" t="s">
        <v>37</v>
      </c>
      <c r="D7" s="24" t="s">
        <v>38</v>
      </c>
      <c r="E7" s="21"/>
      <c r="F7" s="21"/>
      <c r="G7" s="21"/>
      <c r="H7" s="21"/>
      <c r="I7" s="21"/>
      <c r="J7" s="21"/>
      <c r="K7" s="25">
        <v>50</v>
      </c>
      <c r="L7" s="26" t="s">
        <v>39</v>
      </c>
      <c r="M7" s="47">
        <v>7.4400000000000013</v>
      </c>
      <c r="N7" s="59">
        <f>TRUNC(M7*$R$5,2)</f>
        <v>9.24</v>
      </c>
      <c r="O7" s="28">
        <f>K7*N7</f>
        <v>462</v>
      </c>
      <c r="Q7" s="54"/>
      <c r="R7" s="54"/>
      <c r="S7" s="54"/>
    </row>
    <row r="8" spans="1:19" x14ac:dyDescent="0.25">
      <c r="A8" s="23">
        <v>6454</v>
      </c>
      <c r="B8" s="24"/>
      <c r="C8" s="23" t="s">
        <v>40</v>
      </c>
      <c r="D8" s="24" t="s">
        <v>41</v>
      </c>
      <c r="E8" s="24"/>
      <c r="F8" s="24"/>
      <c r="G8" s="24"/>
      <c r="H8" s="24"/>
      <c r="I8" s="24"/>
      <c r="J8" s="24"/>
      <c r="K8" s="25">
        <v>50</v>
      </c>
      <c r="L8" s="26" t="s">
        <v>39</v>
      </c>
      <c r="M8" s="47">
        <v>110.91</v>
      </c>
      <c r="N8" s="59">
        <f t="shared" ref="N8:N30" si="0">TRUNC(M8*$R$5,2)</f>
        <v>137.74</v>
      </c>
      <c r="O8" s="28">
        <f>K8*N8</f>
        <v>6887</v>
      </c>
      <c r="S8" s="54"/>
    </row>
    <row r="9" spans="1:19" x14ac:dyDescent="0.25">
      <c r="A9" s="24"/>
      <c r="B9" s="24"/>
      <c r="C9" s="29"/>
      <c r="D9" s="300" t="s">
        <v>42</v>
      </c>
      <c r="E9" s="300"/>
      <c r="F9" s="300"/>
      <c r="G9" s="300"/>
      <c r="H9" s="300"/>
      <c r="I9" s="300"/>
      <c r="J9" s="300"/>
      <c r="K9" s="24"/>
      <c r="L9" s="24"/>
      <c r="M9" s="49"/>
      <c r="N9" s="60"/>
      <c r="O9" s="30">
        <f>SUM(O7:O8)</f>
        <v>7349</v>
      </c>
      <c r="S9" s="54"/>
    </row>
    <row r="10" spans="1:19" x14ac:dyDescent="0.25">
      <c r="A10" s="68"/>
      <c r="B10" s="68"/>
      <c r="C10" s="68">
        <v>2</v>
      </c>
      <c r="D10" s="301" t="s">
        <v>43</v>
      </c>
      <c r="E10" s="301"/>
      <c r="F10" s="301"/>
      <c r="G10" s="301"/>
      <c r="H10" s="301"/>
      <c r="I10" s="301"/>
      <c r="J10" s="301"/>
      <c r="K10" s="69"/>
      <c r="L10" s="69"/>
      <c r="M10" s="70"/>
      <c r="N10" s="71"/>
      <c r="O10" s="69"/>
      <c r="S10" s="54"/>
    </row>
    <row r="11" spans="1:19" x14ac:dyDescent="0.25">
      <c r="A11" s="61" t="s">
        <v>44</v>
      </c>
      <c r="B11" s="61" t="s">
        <v>45</v>
      </c>
      <c r="C11" s="61" t="s">
        <v>46</v>
      </c>
      <c r="D11" s="302" t="s">
        <v>47</v>
      </c>
      <c r="E11" s="303"/>
      <c r="F11" s="303"/>
      <c r="G11" s="303"/>
      <c r="H11" s="303"/>
      <c r="I11" s="303"/>
      <c r="J11" s="304"/>
      <c r="K11" s="43">
        <v>200</v>
      </c>
      <c r="L11" s="63" t="s">
        <v>48</v>
      </c>
      <c r="M11" s="47">
        <v>7.53</v>
      </c>
      <c r="N11" s="56">
        <f t="shared" si="0"/>
        <v>9.35</v>
      </c>
      <c r="O11" s="64">
        <f>K11*N11</f>
        <v>1870</v>
      </c>
      <c r="S11" s="54"/>
    </row>
    <row r="12" spans="1:19" x14ac:dyDescent="0.25">
      <c r="A12" s="61">
        <v>85366</v>
      </c>
      <c r="B12" s="42" t="s">
        <v>49</v>
      </c>
      <c r="C12" s="61" t="s">
        <v>50</v>
      </c>
      <c r="D12" s="302" t="s">
        <v>51</v>
      </c>
      <c r="E12" s="303"/>
      <c r="F12" s="303"/>
      <c r="G12" s="303"/>
      <c r="H12" s="303"/>
      <c r="I12" s="303"/>
      <c r="J12" s="304"/>
      <c r="K12" s="43">
        <v>1000</v>
      </c>
      <c r="L12" s="63" t="s">
        <v>48</v>
      </c>
      <c r="M12" s="47">
        <v>14.16</v>
      </c>
      <c r="N12" s="56">
        <f t="shared" si="0"/>
        <v>17.579999999999998</v>
      </c>
      <c r="O12" s="64">
        <f>K12*N12</f>
        <v>17580</v>
      </c>
      <c r="S12" s="54"/>
    </row>
    <row r="13" spans="1:19" x14ac:dyDescent="0.25">
      <c r="A13" s="61">
        <v>74010</v>
      </c>
      <c r="B13" s="42" t="s">
        <v>49</v>
      </c>
      <c r="C13" s="49" t="s">
        <v>52</v>
      </c>
      <c r="D13" s="302" t="s">
        <v>53</v>
      </c>
      <c r="E13" s="303"/>
      <c r="F13" s="303"/>
      <c r="G13" s="303"/>
      <c r="H13" s="303"/>
      <c r="I13" s="303"/>
      <c r="J13" s="304"/>
      <c r="K13" s="43">
        <v>6700</v>
      </c>
      <c r="L13" s="63" t="s">
        <v>39</v>
      </c>
      <c r="M13" s="47">
        <v>1.1599999999999999</v>
      </c>
      <c r="N13" s="56">
        <f t="shared" si="0"/>
        <v>1.44</v>
      </c>
      <c r="O13" s="64">
        <f>K13*N13</f>
        <v>9648</v>
      </c>
      <c r="S13" s="54"/>
    </row>
    <row r="14" spans="1:19" x14ac:dyDescent="0.25">
      <c r="A14" s="61">
        <v>83358</v>
      </c>
      <c r="B14" s="42" t="s">
        <v>49</v>
      </c>
      <c r="C14" s="61" t="s">
        <v>54</v>
      </c>
      <c r="D14" s="302" t="s">
        <v>55</v>
      </c>
      <c r="E14" s="303"/>
      <c r="F14" s="303"/>
      <c r="G14" s="303"/>
      <c r="H14" s="303"/>
      <c r="I14" s="303"/>
      <c r="J14" s="304"/>
      <c r="K14" s="43">
        <v>33500</v>
      </c>
      <c r="L14" s="63" t="s">
        <v>56</v>
      </c>
      <c r="M14" s="47">
        <v>1.32</v>
      </c>
      <c r="N14" s="56">
        <f t="shared" si="0"/>
        <v>1.63</v>
      </c>
      <c r="O14" s="67">
        <f>K14*N14</f>
        <v>54605</v>
      </c>
      <c r="S14" s="54"/>
    </row>
    <row r="15" spans="1:19" x14ac:dyDescent="0.25">
      <c r="A15" s="61" t="s">
        <v>57</v>
      </c>
      <c r="B15" s="61" t="s">
        <v>45</v>
      </c>
      <c r="C15" s="61" t="s">
        <v>58</v>
      </c>
      <c r="D15" s="302" t="s">
        <v>59</v>
      </c>
      <c r="E15" s="303"/>
      <c r="F15" s="303"/>
      <c r="G15" s="303"/>
      <c r="H15" s="303"/>
      <c r="I15" s="303"/>
      <c r="J15" s="304"/>
      <c r="K15" s="43">
        <v>250</v>
      </c>
      <c r="L15" s="63" t="s">
        <v>60</v>
      </c>
      <c r="M15" s="47">
        <v>1.1399999999999999</v>
      </c>
      <c r="N15" s="56">
        <f t="shared" si="0"/>
        <v>1.41</v>
      </c>
      <c r="O15" s="64">
        <f>K15*N15</f>
        <v>352.5</v>
      </c>
      <c r="S15" s="54"/>
    </row>
    <row r="16" spans="1:19" x14ac:dyDescent="0.25">
      <c r="A16" s="61">
        <v>2020</v>
      </c>
      <c r="B16" s="61" t="s">
        <v>45</v>
      </c>
      <c r="C16" s="61" t="s">
        <v>61</v>
      </c>
      <c r="D16" s="302" t="s">
        <v>62</v>
      </c>
      <c r="E16" s="303"/>
      <c r="F16" s="303"/>
      <c r="G16" s="303"/>
      <c r="H16" s="303"/>
      <c r="I16" s="303"/>
      <c r="J16" s="304"/>
      <c r="K16" s="43"/>
      <c r="L16" s="63"/>
      <c r="M16" s="47"/>
      <c r="N16" s="56"/>
      <c r="O16" s="64"/>
      <c r="S16" s="54"/>
    </row>
    <row r="17" spans="1:19" x14ac:dyDescent="0.25">
      <c r="A17" s="61" t="s">
        <v>6</v>
      </c>
      <c r="B17" s="61" t="s">
        <v>45</v>
      </c>
      <c r="C17" s="61" t="s">
        <v>63</v>
      </c>
      <c r="D17" s="302" t="s">
        <v>64</v>
      </c>
      <c r="E17" s="303"/>
      <c r="F17" s="303"/>
      <c r="G17" s="303"/>
      <c r="H17" s="303"/>
      <c r="I17" s="303"/>
      <c r="J17" s="304"/>
      <c r="K17" s="43">
        <v>25000</v>
      </c>
      <c r="L17" s="63" t="s">
        <v>65</v>
      </c>
      <c r="M17" s="47">
        <v>3.24</v>
      </c>
      <c r="N17" s="56">
        <f t="shared" si="0"/>
        <v>4.0199999999999996</v>
      </c>
      <c r="O17" s="67">
        <f t="shared" ref="O17:O26" si="1">K17*N17</f>
        <v>100499.99999999999</v>
      </c>
      <c r="S17" s="54"/>
    </row>
    <row r="18" spans="1:19" x14ac:dyDescent="0.25">
      <c r="A18" s="61" t="s">
        <v>7</v>
      </c>
      <c r="B18" s="61" t="s">
        <v>45</v>
      </c>
      <c r="C18" s="61" t="s">
        <v>66</v>
      </c>
      <c r="D18" s="302" t="s">
        <v>67</v>
      </c>
      <c r="E18" s="303"/>
      <c r="F18" s="303"/>
      <c r="G18" s="303"/>
      <c r="H18" s="303"/>
      <c r="I18" s="303"/>
      <c r="J18" s="304"/>
      <c r="K18" s="43">
        <v>84000</v>
      </c>
      <c r="L18" s="63" t="s">
        <v>65</v>
      </c>
      <c r="M18" s="47">
        <v>5.25</v>
      </c>
      <c r="N18" s="56">
        <f t="shared" si="0"/>
        <v>6.52</v>
      </c>
      <c r="O18" s="67">
        <f t="shared" si="1"/>
        <v>547680</v>
      </c>
      <c r="S18" s="54"/>
    </row>
    <row r="19" spans="1:19" ht="30" x14ac:dyDescent="0.25">
      <c r="A19" s="61">
        <v>4011486</v>
      </c>
      <c r="B19" s="61" t="s">
        <v>68</v>
      </c>
      <c r="C19" s="61" t="s">
        <v>69</v>
      </c>
      <c r="D19" s="302" t="s">
        <v>70</v>
      </c>
      <c r="E19" s="303"/>
      <c r="F19" s="303"/>
      <c r="G19" s="303"/>
      <c r="H19" s="303"/>
      <c r="I19" s="303"/>
      <c r="J19" s="304"/>
      <c r="K19" s="43">
        <v>200</v>
      </c>
      <c r="L19" s="63" t="s">
        <v>71</v>
      </c>
      <c r="M19" s="47">
        <v>64</v>
      </c>
      <c r="N19" s="56">
        <f t="shared" si="0"/>
        <v>79.48</v>
      </c>
      <c r="O19" s="64">
        <f t="shared" si="1"/>
        <v>15896</v>
      </c>
      <c r="S19" s="54"/>
    </row>
    <row r="20" spans="1:19" x14ac:dyDescent="0.25">
      <c r="A20" s="61">
        <v>72961</v>
      </c>
      <c r="B20" s="42" t="s">
        <v>49</v>
      </c>
      <c r="C20" s="61" t="s">
        <v>72</v>
      </c>
      <c r="D20" s="302" t="s">
        <v>73</v>
      </c>
      <c r="E20" s="303"/>
      <c r="F20" s="303"/>
      <c r="G20" s="303"/>
      <c r="H20" s="303"/>
      <c r="I20" s="303"/>
      <c r="J20" s="304"/>
      <c r="K20" s="43">
        <v>1000</v>
      </c>
      <c r="L20" s="63" t="s">
        <v>65</v>
      </c>
      <c r="M20" s="47">
        <v>0.89</v>
      </c>
      <c r="N20" s="56">
        <f t="shared" si="0"/>
        <v>1.1000000000000001</v>
      </c>
      <c r="O20" s="64">
        <f t="shared" si="1"/>
        <v>1100</v>
      </c>
      <c r="S20" s="54"/>
    </row>
    <row r="21" spans="1:19" x14ac:dyDescent="0.25">
      <c r="A21" s="61">
        <v>73710</v>
      </c>
      <c r="B21" s="62" t="s">
        <v>49</v>
      </c>
      <c r="C21" s="61">
        <v>2.7</v>
      </c>
      <c r="D21" s="302" t="s">
        <v>74</v>
      </c>
      <c r="E21" s="303"/>
      <c r="F21" s="303"/>
      <c r="G21" s="303"/>
      <c r="H21" s="303"/>
      <c r="I21" s="303"/>
      <c r="J21" s="304"/>
      <c r="K21" s="43">
        <v>200</v>
      </c>
      <c r="L21" s="63" t="s">
        <v>71</v>
      </c>
      <c r="M21" s="47">
        <v>69.45</v>
      </c>
      <c r="N21" s="56">
        <f t="shared" si="0"/>
        <v>86.25</v>
      </c>
      <c r="O21" s="64">
        <f t="shared" si="1"/>
        <v>17250</v>
      </c>
      <c r="S21" s="54"/>
    </row>
    <row r="22" spans="1:19" x14ac:dyDescent="0.25">
      <c r="A22" s="61">
        <v>95875</v>
      </c>
      <c r="B22" s="62" t="s">
        <v>49</v>
      </c>
      <c r="C22" s="61" t="s">
        <v>75</v>
      </c>
      <c r="D22" s="302" t="s">
        <v>76</v>
      </c>
      <c r="E22" s="303"/>
      <c r="F22" s="303"/>
      <c r="G22" s="303"/>
      <c r="H22" s="303"/>
      <c r="I22" s="303"/>
      <c r="J22" s="304"/>
      <c r="K22" s="43">
        <v>2000</v>
      </c>
      <c r="L22" s="63" t="s">
        <v>56</v>
      </c>
      <c r="M22" s="47">
        <v>0.72</v>
      </c>
      <c r="N22" s="56">
        <f t="shared" si="0"/>
        <v>0.89</v>
      </c>
      <c r="O22" s="64">
        <f t="shared" si="1"/>
        <v>1780</v>
      </c>
      <c r="S22" s="54"/>
    </row>
    <row r="23" spans="1:19" x14ac:dyDescent="0.25">
      <c r="A23" s="61">
        <v>72945</v>
      </c>
      <c r="B23" s="62" t="s">
        <v>49</v>
      </c>
      <c r="C23" s="61" t="s">
        <v>77</v>
      </c>
      <c r="D23" s="302" t="s">
        <v>78</v>
      </c>
      <c r="E23" s="303"/>
      <c r="F23" s="303"/>
      <c r="G23" s="303"/>
      <c r="H23" s="303"/>
      <c r="I23" s="303"/>
      <c r="J23" s="304"/>
      <c r="K23" s="43">
        <v>1000</v>
      </c>
      <c r="L23" s="63" t="s">
        <v>65</v>
      </c>
      <c r="M23" s="47">
        <v>3.35</v>
      </c>
      <c r="N23" s="56">
        <f t="shared" si="0"/>
        <v>4.16</v>
      </c>
      <c r="O23" s="64">
        <f t="shared" si="1"/>
        <v>4160</v>
      </c>
      <c r="S23" s="54"/>
    </row>
    <row r="24" spans="1:19" x14ac:dyDescent="0.25">
      <c r="A24" s="61">
        <v>72942</v>
      </c>
      <c r="B24" s="62" t="s">
        <v>49</v>
      </c>
      <c r="C24" s="61" t="s">
        <v>79</v>
      </c>
      <c r="D24" s="302" t="s">
        <v>80</v>
      </c>
      <c r="E24" s="303"/>
      <c r="F24" s="303"/>
      <c r="G24" s="303"/>
      <c r="H24" s="303"/>
      <c r="I24" s="303"/>
      <c r="J24" s="304"/>
      <c r="K24" s="43">
        <v>109000</v>
      </c>
      <c r="L24" s="63" t="s">
        <v>65</v>
      </c>
      <c r="M24" s="47">
        <v>0.92</v>
      </c>
      <c r="N24" s="56">
        <f t="shared" si="0"/>
        <v>1.1399999999999999</v>
      </c>
      <c r="O24" s="64">
        <f t="shared" si="1"/>
        <v>124259.99999999999</v>
      </c>
      <c r="S24" s="54"/>
    </row>
    <row r="25" spans="1:19" x14ac:dyDescent="0.25">
      <c r="A25" s="61" t="s">
        <v>5</v>
      </c>
      <c r="B25" s="62" t="s">
        <v>45</v>
      </c>
      <c r="C25" s="61" t="s">
        <v>81</v>
      </c>
      <c r="D25" s="314" t="s">
        <v>82</v>
      </c>
      <c r="E25" s="315"/>
      <c r="F25" s="315"/>
      <c r="G25" s="315"/>
      <c r="H25" s="315"/>
      <c r="I25" s="315"/>
      <c r="J25" s="316"/>
      <c r="K25" s="43">
        <v>16000</v>
      </c>
      <c r="L25" s="63" t="s">
        <v>83</v>
      </c>
      <c r="M25" s="50">
        <v>209.45</v>
      </c>
      <c r="N25" s="56">
        <f t="shared" si="0"/>
        <v>260.12</v>
      </c>
      <c r="O25" s="67">
        <f t="shared" si="1"/>
        <v>4161920</v>
      </c>
      <c r="S25" s="54"/>
    </row>
    <row r="26" spans="1:19" x14ac:dyDescent="0.25">
      <c r="A26" s="61">
        <v>95590</v>
      </c>
      <c r="B26" s="62" t="s">
        <v>49</v>
      </c>
      <c r="C26" s="61" t="s">
        <v>84</v>
      </c>
      <c r="D26" s="302" t="s">
        <v>85</v>
      </c>
      <c r="E26" s="303"/>
      <c r="F26" s="303"/>
      <c r="G26" s="303"/>
      <c r="H26" s="303"/>
      <c r="I26" s="303"/>
      <c r="J26" s="304"/>
      <c r="K26" s="43">
        <v>160000</v>
      </c>
      <c r="L26" s="63" t="s">
        <v>86</v>
      </c>
      <c r="M26" s="47">
        <v>0.65</v>
      </c>
      <c r="N26" s="56">
        <f t="shared" si="0"/>
        <v>0.8</v>
      </c>
      <c r="O26" s="67">
        <f t="shared" si="1"/>
        <v>128000</v>
      </c>
      <c r="S26" s="54"/>
    </row>
    <row r="27" spans="1:19" x14ac:dyDescent="0.25">
      <c r="A27" s="24"/>
      <c r="B27" s="24"/>
      <c r="C27" s="29"/>
      <c r="D27" s="300" t="s">
        <v>42</v>
      </c>
      <c r="E27" s="300"/>
      <c r="F27" s="300"/>
      <c r="G27" s="300"/>
      <c r="H27" s="300"/>
      <c r="I27" s="300"/>
      <c r="J27" s="300"/>
      <c r="K27" s="24"/>
      <c r="L27" s="24"/>
      <c r="M27" s="49"/>
      <c r="N27" s="60"/>
      <c r="O27" s="30">
        <f>SUM(O11:O26)</f>
        <v>5186601.5</v>
      </c>
      <c r="S27" s="54"/>
    </row>
    <row r="28" spans="1:19" x14ac:dyDescent="0.25">
      <c r="A28" s="68"/>
      <c r="B28" s="68"/>
      <c r="C28" s="68">
        <v>3</v>
      </c>
      <c r="D28" s="301" t="s">
        <v>87</v>
      </c>
      <c r="E28" s="301"/>
      <c r="F28" s="301"/>
      <c r="G28" s="301"/>
      <c r="H28" s="301"/>
      <c r="I28" s="301"/>
      <c r="J28" s="301"/>
      <c r="K28" s="69"/>
      <c r="L28" s="69"/>
      <c r="M28" s="70"/>
      <c r="N28" s="72"/>
      <c r="O28" s="69"/>
      <c r="S28" s="54"/>
    </row>
    <row r="29" spans="1:19" ht="30" x14ac:dyDescent="0.25">
      <c r="A29" s="61">
        <v>4915678</v>
      </c>
      <c r="B29" s="62" t="s">
        <v>68</v>
      </c>
      <c r="C29" s="61" t="s">
        <v>88</v>
      </c>
      <c r="D29" s="314" t="s">
        <v>89</v>
      </c>
      <c r="E29" s="315"/>
      <c r="F29" s="315"/>
      <c r="G29" s="315"/>
      <c r="H29" s="315"/>
      <c r="I29" s="315"/>
      <c r="J29" s="316"/>
      <c r="K29" s="43">
        <v>7100</v>
      </c>
      <c r="L29" s="63" t="s">
        <v>90</v>
      </c>
      <c r="M29" s="50">
        <v>273.8</v>
      </c>
      <c r="N29" s="55">
        <f t="shared" si="0"/>
        <v>340.04</v>
      </c>
      <c r="O29" s="67">
        <f>K29*N29</f>
        <v>2414284</v>
      </c>
      <c r="S29" s="54"/>
    </row>
    <row r="30" spans="1:19" x14ac:dyDescent="0.25">
      <c r="A30" s="61">
        <v>93590</v>
      </c>
      <c r="B30" s="62" t="s">
        <v>49</v>
      </c>
      <c r="C30" s="61" t="s">
        <v>91</v>
      </c>
      <c r="D30" s="302" t="s">
        <v>92</v>
      </c>
      <c r="E30" s="303"/>
      <c r="F30" s="303"/>
      <c r="G30" s="303"/>
      <c r="H30" s="303"/>
      <c r="I30" s="303"/>
      <c r="J30" s="304"/>
      <c r="K30" s="43">
        <v>70000</v>
      </c>
      <c r="L30" s="63" t="s">
        <v>93</v>
      </c>
      <c r="M30" s="47">
        <v>0.65</v>
      </c>
      <c r="N30" s="55">
        <f t="shared" si="0"/>
        <v>0.8</v>
      </c>
      <c r="O30" s="67">
        <f>K30*N30</f>
        <v>56000</v>
      </c>
      <c r="S30" s="54"/>
    </row>
    <row r="31" spans="1:19" x14ac:dyDescent="0.25">
      <c r="A31" s="24"/>
      <c r="B31" s="24"/>
      <c r="C31" s="29"/>
      <c r="D31" s="300" t="s">
        <v>42</v>
      </c>
      <c r="E31" s="300"/>
      <c r="F31" s="300"/>
      <c r="G31" s="300"/>
      <c r="H31" s="300"/>
      <c r="I31" s="300"/>
      <c r="J31" s="300"/>
      <c r="K31" s="24"/>
      <c r="L31" s="24"/>
      <c r="M31" s="49"/>
      <c r="N31" s="49"/>
      <c r="O31" s="30">
        <f>SUM(O29:O30)</f>
        <v>2470284</v>
      </c>
    </row>
    <row r="32" spans="1:19" x14ac:dyDescent="0.25">
      <c r="A32" s="23"/>
      <c r="B32" s="33"/>
      <c r="C32" s="23"/>
      <c r="D32" s="294"/>
      <c r="E32" s="295"/>
      <c r="F32" s="295"/>
      <c r="G32" s="295"/>
      <c r="H32" s="295"/>
      <c r="I32" s="295"/>
      <c r="J32" s="296"/>
      <c r="K32" s="25"/>
      <c r="L32" s="26"/>
      <c r="M32" s="47"/>
      <c r="N32" s="50"/>
      <c r="O32" s="28"/>
    </row>
    <row r="33" spans="1:16" x14ac:dyDescent="0.25">
      <c r="A33" s="23"/>
      <c r="B33" s="33"/>
      <c r="C33" s="23"/>
      <c r="D33" s="294"/>
      <c r="E33" s="295"/>
      <c r="F33" s="295"/>
      <c r="G33" s="295"/>
      <c r="H33" s="295"/>
      <c r="I33" s="295"/>
      <c r="J33" s="296"/>
      <c r="K33" s="25"/>
      <c r="L33" s="26"/>
      <c r="M33" s="47"/>
      <c r="N33" s="50"/>
      <c r="O33" s="28"/>
    </row>
    <row r="34" spans="1:16" x14ac:dyDescent="0.25">
      <c r="A34" s="23"/>
      <c r="B34" s="33"/>
      <c r="C34" s="23"/>
      <c r="D34" s="294"/>
      <c r="E34" s="295"/>
      <c r="F34" s="295"/>
      <c r="G34" s="295"/>
      <c r="H34" s="295"/>
      <c r="I34" s="295"/>
      <c r="J34" s="296"/>
      <c r="K34" s="25"/>
      <c r="L34" s="26"/>
      <c r="M34" s="47"/>
      <c r="N34" s="50"/>
      <c r="O34" s="28"/>
    </row>
    <row r="35" spans="1:16" x14ac:dyDescent="0.25">
      <c r="A35" s="23"/>
      <c r="B35" s="33"/>
      <c r="C35" s="23"/>
      <c r="D35" s="294"/>
      <c r="E35" s="295"/>
      <c r="F35" s="295"/>
      <c r="G35" s="295"/>
      <c r="H35" s="295"/>
      <c r="I35" s="295"/>
      <c r="J35" s="296"/>
      <c r="K35" s="25"/>
      <c r="L35" s="26"/>
      <c r="M35" s="47"/>
      <c r="N35" s="50"/>
      <c r="O35" s="28"/>
    </row>
    <row r="36" spans="1:16" x14ac:dyDescent="0.25">
      <c r="A36" s="51"/>
      <c r="B36" s="52"/>
      <c r="C36" s="52"/>
      <c r="D36" s="52"/>
      <c r="E36" s="52"/>
      <c r="F36" s="52"/>
      <c r="G36" s="52"/>
      <c r="H36" s="52"/>
      <c r="I36" s="52"/>
      <c r="J36" s="53" t="s">
        <v>94</v>
      </c>
      <c r="K36" s="24"/>
      <c r="L36" s="24"/>
      <c r="M36" s="49"/>
      <c r="N36" s="49"/>
      <c r="O36" s="30">
        <f>O31+O27+O9</f>
        <v>7664234.5</v>
      </c>
      <c r="P36" s="57">
        <f>1-(O36/'Plan. Prefeitura'!O36)</f>
        <v>0.22275331214697791</v>
      </c>
    </row>
    <row r="37" spans="1:16" x14ac:dyDescent="0.25">
      <c r="A37" s="35" t="s">
        <v>95</v>
      </c>
    </row>
    <row r="38" spans="1:16"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4" right="0.511811024" top="0.78740157499999996" bottom="0.78740157499999996" header="0.31496062000000002" footer="0.31496062000000002"/>
  <pageSetup paperSize="9" scale="5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8"/>
  <sheetViews>
    <sheetView view="pageBreakPreview" topLeftCell="A21" zoomScaleSheetLayoutView="100" workbookViewId="0">
      <selection activeCell="D19" sqref="D19:J19"/>
    </sheetView>
  </sheetViews>
  <sheetFormatPr defaultRowHeight="15" x14ac:dyDescent="0.25"/>
  <cols>
    <col min="1" max="1" width="10.28515625" customWidth="1"/>
    <col min="10" max="10" width="30.5703125" customWidth="1"/>
    <col min="11" max="11" width="11.5703125" style="1" bestFit="1" customWidth="1"/>
    <col min="13" max="13" width="8" bestFit="1" customWidth="1"/>
    <col min="14" max="14" width="11" bestFit="1" customWidth="1"/>
    <col min="15" max="15" width="13.28515625" bestFit="1" customWidth="1"/>
    <col min="18" max="18" width="15.42578125" bestFit="1" customWidth="1"/>
  </cols>
  <sheetData>
    <row r="1" spans="1:20" x14ac:dyDescent="0.25">
      <c r="A1" s="305" t="s">
        <v>30</v>
      </c>
      <c r="B1" s="306"/>
      <c r="C1" s="306"/>
      <c r="D1" s="306"/>
      <c r="E1" s="306"/>
      <c r="F1" s="306"/>
      <c r="G1" s="306"/>
      <c r="H1" s="306"/>
      <c r="I1" s="306"/>
      <c r="J1" s="306"/>
      <c r="K1" s="309" t="s">
        <v>31</v>
      </c>
      <c r="L1" s="309"/>
      <c r="M1" s="309"/>
      <c r="N1" s="309"/>
      <c r="O1" s="310"/>
    </row>
    <row r="2" spans="1:20" x14ac:dyDescent="0.25">
      <c r="A2" s="307"/>
      <c r="B2" s="308"/>
      <c r="C2" s="308"/>
      <c r="D2" s="308"/>
      <c r="E2" s="308"/>
      <c r="F2" s="308"/>
      <c r="G2" s="308"/>
      <c r="H2" s="308"/>
      <c r="I2" s="308"/>
      <c r="J2" s="308"/>
      <c r="K2" s="311"/>
      <c r="L2" s="311"/>
      <c r="M2" s="311"/>
      <c r="N2" s="311"/>
      <c r="O2" s="312"/>
    </row>
    <row r="3" spans="1:20" x14ac:dyDescent="0.25">
      <c r="A3" s="307"/>
      <c r="B3" s="308"/>
      <c r="C3" s="308"/>
      <c r="D3" s="308"/>
      <c r="E3" s="308"/>
      <c r="F3" s="308"/>
      <c r="G3" s="308"/>
      <c r="H3" s="308"/>
      <c r="I3" s="308"/>
      <c r="J3" s="308"/>
      <c r="K3" s="311"/>
      <c r="L3" s="311"/>
      <c r="M3" s="311"/>
      <c r="N3" s="311"/>
      <c r="O3" s="312"/>
      <c r="Q3">
        <v>11.16</v>
      </c>
      <c r="R3" s="54">
        <f>Q3/N7</f>
        <v>1</v>
      </c>
    </row>
    <row r="4" spans="1:20" x14ac:dyDescent="0.25">
      <c r="A4" s="307"/>
      <c r="B4" s="308"/>
      <c r="C4" s="308"/>
      <c r="D4" s="308"/>
      <c r="E4" s="308"/>
      <c r="F4" s="308"/>
      <c r="G4" s="308"/>
      <c r="H4" s="308"/>
      <c r="I4" s="308"/>
      <c r="J4" s="308"/>
      <c r="K4" s="311"/>
      <c r="L4" s="311"/>
      <c r="M4" s="311"/>
      <c r="N4" s="311"/>
      <c r="O4" s="312"/>
    </row>
    <row r="5" spans="1:20" ht="45" x14ac:dyDescent="0.25">
      <c r="A5" s="81" t="s">
        <v>8</v>
      </c>
      <c r="B5" s="45"/>
      <c r="C5" s="45" t="s">
        <v>32</v>
      </c>
      <c r="D5" s="313" t="s">
        <v>33</v>
      </c>
      <c r="E5" s="313"/>
      <c r="F5" s="313"/>
      <c r="G5" s="313"/>
      <c r="H5" s="313"/>
      <c r="I5" s="313"/>
      <c r="J5" s="313"/>
      <c r="K5" s="46" t="s">
        <v>34</v>
      </c>
      <c r="L5" s="38" t="s">
        <v>35</v>
      </c>
      <c r="M5" s="45" t="s">
        <v>98</v>
      </c>
      <c r="N5" s="45" t="s">
        <v>97</v>
      </c>
      <c r="O5" s="82" t="s">
        <v>99</v>
      </c>
      <c r="Q5" s="54">
        <v>1.21</v>
      </c>
      <c r="R5">
        <v>1.2</v>
      </c>
    </row>
    <row r="6" spans="1:20" x14ac:dyDescent="0.25">
      <c r="A6" s="83"/>
      <c r="B6" s="68"/>
      <c r="C6" s="68">
        <v>1</v>
      </c>
      <c r="D6" s="301" t="s">
        <v>36</v>
      </c>
      <c r="E6" s="301"/>
      <c r="F6" s="301"/>
      <c r="G6" s="301"/>
      <c r="H6" s="301"/>
      <c r="I6" s="301"/>
      <c r="J6" s="301"/>
      <c r="K6" s="75"/>
      <c r="L6" s="69"/>
      <c r="M6" s="70"/>
      <c r="N6" s="70"/>
      <c r="O6" s="84"/>
      <c r="R6">
        <v>9.3000000000000007</v>
      </c>
      <c r="S6">
        <f>R6*$R$37</f>
        <v>9.3000000000000007</v>
      </c>
      <c r="T6">
        <f>TRUNC(S6,2)</f>
        <v>9.3000000000000007</v>
      </c>
    </row>
    <row r="7" spans="1:20" x14ac:dyDescent="0.25">
      <c r="A7" s="85">
        <v>90106</v>
      </c>
      <c r="B7" s="21"/>
      <c r="C7" s="23" t="s">
        <v>37</v>
      </c>
      <c r="D7" s="24" t="s">
        <v>38</v>
      </c>
      <c r="E7" s="21"/>
      <c r="F7" s="21"/>
      <c r="G7" s="21"/>
      <c r="H7" s="21"/>
      <c r="I7" s="21"/>
      <c r="J7" s="21"/>
      <c r="K7" s="65">
        <v>50</v>
      </c>
      <c r="L7" s="66" t="s">
        <v>39</v>
      </c>
      <c r="M7" s="39">
        <v>9.3000000000000007</v>
      </c>
      <c r="N7" s="56">
        <f>TRUNC(M7*$R$5,2)</f>
        <v>11.16</v>
      </c>
      <c r="O7" s="86">
        <f>K7*N7</f>
        <v>558</v>
      </c>
      <c r="Q7" s="54"/>
      <c r="R7" s="54">
        <v>138.63999999999999</v>
      </c>
      <c r="S7">
        <f t="shared" ref="S7:S29" si="0">R7*$R$37</f>
        <v>138.63999999999999</v>
      </c>
      <c r="T7">
        <f t="shared" ref="T7:T29" si="1">TRUNC(S7,2)</f>
        <v>138.63999999999999</v>
      </c>
    </row>
    <row r="8" spans="1:20" x14ac:dyDescent="0.25">
      <c r="A8" s="85">
        <v>6454</v>
      </c>
      <c r="B8" s="24"/>
      <c r="C8" s="23" t="s">
        <v>40</v>
      </c>
      <c r="D8" s="24" t="s">
        <v>41</v>
      </c>
      <c r="E8" s="24"/>
      <c r="F8" s="24"/>
      <c r="G8" s="24"/>
      <c r="H8" s="24"/>
      <c r="I8" s="24"/>
      <c r="J8" s="24"/>
      <c r="K8" s="65">
        <v>50</v>
      </c>
      <c r="L8" s="66" t="s">
        <v>39</v>
      </c>
      <c r="M8" s="39">
        <v>138.63999999999999</v>
      </c>
      <c r="N8" s="56">
        <v>164.56</v>
      </c>
      <c r="O8" s="86">
        <f>K8*N8</f>
        <v>8228</v>
      </c>
      <c r="S8">
        <f t="shared" si="0"/>
        <v>0</v>
      </c>
      <c r="T8">
        <f t="shared" si="1"/>
        <v>0</v>
      </c>
    </row>
    <row r="9" spans="1:20" x14ac:dyDescent="0.25">
      <c r="A9" s="87"/>
      <c r="B9" s="24"/>
      <c r="C9" s="29"/>
      <c r="D9" s="300" t="s">
        <v>42</v>
      </c>
      <c r="E9" s="300"/>
      <c r="F9" s="300"/>
      <c r="G9" s="300"/>
      <c r="H9" s="300"/>
      <c r="I9" s="300"/>
      <c r="J9" s="300"/>
      <c r="K9" s="32"/>
      <c r="L9" s="32"/>
      <c r="M9" s="40"/>
      <c r="N9" s="58"/>
      <c r="O9" s="88">
        <f>SUM(O7:O8)</f>
        <v>8786</v>
      </c>
      <c r="S9">
        <f t="shared" si="0"/>
        <v>0</v>
      </c>
      <c r="T9">
        <f t="shared" si="1"/>
        <v>0</v>
      </c>
    </row>
    <row r="10" spans="1:20" x14ac:dyDescent="0.25">
      <c r="A10" s="83"/>
      <c r="B10" s="68"/>
      <c r="C10" s="68">
        <v>2</v>
      </c>
      <c r="D10" s="301" t="s">
        <v>43</v>
      </c>
      <c r="E10" s="301"/>
      <c r="F10" s="301"/>
      <c r="G10" s="301"/>
      <c r="H10" s="301"/>
      <c r="I10" s="301"/>
      <c r="J10" s="301"/>
      <c r="K10" s="75"/>
      <c r="L10" s="75"/>
      <c r="M10" s="76"/>
      <c r="N10" s="77"/>
      <c r="O10" s="84"/>
      <c r="R10">
        <v>9.42</v>
      </c>
      <c r="S10">
        <f t="shared" si="0"/>
        <v>9.42</v>
      </c>
      <c r="T10">
        <f t="shared" si="1"/>
        <v>9.42</v>
      </c>
    </row>
    <row r="11" spans="1:20" x14ac:dyDescent="0.25">
      <c r="A11" s="85" t="s">
        <v>44</v>
      </c>
      <c r="B11" s="23" t="s">
        <v>45</v>
      </c>
      <c r="C11" s="23" t="s">
        <v>46</v>
      </c>
      <c r="D11" s="294" t="s">
        <v>47</v>
      </c>
      <c r="E11" s="295"/>
      <c r="F11" s="295"/>
      <c r="G11" s="295"/>
      <c r="H11" s="295"/>
      <c r="I11" s="295"/>
      <c r="J11" s="296"/>
      <c r="K11" s="65">
        <v>200</v>
      </c>
      <c r="L11" s="66" t="s">
        <v>48</v>
      </c>
      <c r="M11" s="39">
        <v>9.42</v>
      </c>
      <c r="N11" s="56">
        <v>11.17</v>
      </c>
      <c r="O11" s="86">
        <f>K11*N11</f>
        <v>2234</v>
      </c>
      <c r="R11">
        <v>17.7</v>
      </c>
      <c r="S11">
        <f t="shared" si="0"/>
        <v>17.7</v>
      </c>
      <c r="T11">
        <f t="shared" si="1"/>
        <v>17.7</v>
      </c>
    </row>
    <row r="12" spans="1:20" x14ac:dyDescent="0.25">
      <c r="A12" s="85">
        <v>85366</v>
      </c>
      <c r="B12" s="24" t="s">
        <v>49</v>
      </c>
      <c r="C12" s="23" t="s">
        <v>50</v>
      </c>
      <c r="D12" s="294" t="s">
        <v>51</v>
      </c>
      <c r="E12" s="295"/>
      <c r="F12" s="295"/>
      <c r="G12" s="295"/>
      <c r="H12" s="295"/>
      <c r="I12" s="295"/>
      <c r="J12" s="296"/>
      <c r="K12" s="65">
        <v>1000</v>
      </c>
      <c r="L12" s="66" t="s">
        <v>48</v>
      </c>
      <c r="M12" s="39">
        <v>17.7</v>
      </c>
      <c r="N12" s="56">
        <v>21.01</v>
      </c>
      <c r="O12" s="86">
        <f>K12*N12</f>
        <v>21010</v>
      </c>
      <c r="R12">
        <v>1.46</v>
      </c>
      <c r="S12">
        <f t="shared" si="0"/>
        <v>1.46</v>
      </c>
      <c r="T12">
        <f t="shared" si="1"/>
        <v>1.46</v>
      </c>
    </row>
    <row r="13" spans="1:20" x14ac:dyDescent="0.25">
      <c r="A13" s="85">
        <v>74010</v>
      </c>
      <c r="B13" s="24" t="s">
        <v>49</v>
      </c>
      <c r="C13" s="32" t="s">
        <v>52</v>
      </c>
      <c r="D13" s="294" t="s">
        <v>53</v>
      </c>
      <c r="E13" s="295"/>
      <c r="F13" s="295"/>
      <c r="G13" s="295"/>
      <c r="H13" s="295"/>
      <c r="I13" s="295"/>
      <c r="J13" s="296"/>
      <c r="K13" s="65">
        <v>6700</v>
      </c>
      <c r="L13" s="66" t="s">
        <v>39</v>
      </c>
      <c r="M13" s="39">
        <v>1.46</v>
      </c>
      <c r="N13" s="56">
        <v>1.72</v>
      </c>
      <c r="O13" s="86">
        <f>K13*N13</f>
        <v>11524</v>
      </c>
      <c r="R13">
        <v>1.32</v>
      </c>
      <c r="S13">
        <f t="shared" si="0"/>
        <v>1.32</v>
      </c>
      <c r="T13">
        <f t="shared" si="1"/>
        <v>1.32</v>
      </c>
    </row>
    <row r="14" spans="1:20" x14ac:dyDescent="0.25">
      <c r="A14" s="85">
        <v>83358</v>
      </c>
      <c r="B14" s="24" t="s">
        <v>49</v>
      </c>
      <c r="C14" s="23" t="s">
        <v>54</v>
      </c>
      <c r="D14" s="294" t="s">
        <v>55</v>
      </c>
      <c r="E14" s="295"/>
      <c r="F14" s="295"/>
      <c r="G14" s="295"/>
      <c r="H14" s="295"/>
      <c r="I14" s="295"/>
      <c r="J14" s="296"/>
      <c r="K14" s="65">
        <v>33500</v>
      </c>
      <c r="L14" s="66" t="s">
        <v>56</v>
      </c>
      <c r="M14" s="39">
        <v>1.32</v>
      </c>
      <c r="N14" s="56">
        <v>1.56</v>
      </c>
      <c r="O14" s="86">
        <f>K14*N14</f>
        <v>52260</v>
      </c>
      <c r="R14">
        <v>1.43</v>
      </c>
      <c r="S14">
        <f t="shared" si="0"/>
        <v>1.43</v>
      </c>
      <c r="T14">
        <f t="shared" si="1"/>
        <v>1.43</v>
      </c>
    </row>
    <row r="15" spans="1:20" x14ac:dyDescent="0.25">
      <c r="A15" s="85" t="s">
        <v>57</v>
      </c>
      <c r="B15" s="23" t="s">
        <v>45</v>
      </c>
      <c r="C15" s="23" t="s">
        <v>58</v>
      </c>
      <c r="D15" s="294" t="s">
        <v>59</v>
      </c>
      <c r="E15" s="295"/>
      <c r="F15" s="295"/>
      <c r="G15" s="295"/>
      <c r="H15" s="295"/>
      <c r="I15" s="295"/>
      <c r="J15" s="296"/>
      <c r="K15" s="65">
        <v>250</v>
      </c>
      <c r="L15" s="66" t="s">
        <v>60</v>
      </c>
      <c r="M15" s="39">
        <v>1.43</v>
      </c>
      <c r="N15" s="56">
        <v>1.7</v>
      </c>
      <c r="O15" s="86">
        <f>K15*N15</f>
        <v>425</v>
      </c>
      <c r="S15">
        <f t="shared" si="0"/>
        <v>0</v>
      </c>
      <c r="T15">
        <f t="shared" si="1"/>
        <v>0</v>
      </c>
    </row>
    <row r="16" spans="1:20" x14ac:dyDescent="0.25">
      <c r="A16" s="85">
        <v>2020</v>
      </c>
      <c r="B16" s="23" t="s">
        <v>45</v>
      </c>
      <c r="C16" s="23" t="s">
        <v>61</v>
      </c>
      <c r="D16" s="294" t="s">
        <v>62</v>
      </c>
      <c r="E16" s="295"/>
      <c r="F16" s="295"/>
      <c r="G16" s="295"/>
      <c r="H16" s="295"/>
      <c r="I16" s="295"/>
      <c r="J16" s="296"/>
      <c r="K16" s="65"/>
      <c r="L16" s="66"/>
      <c r="M16" s="39">
        <v>0</v>
      </c>
      <c r="N16" s="56"/>
      <c r="O16" s="86"/>
      <c r="R16">
        <v>6.97</v>
      </c>
      <c r="S16">
        <f t="shared" si="0"/>
        <v>6.97</v>
      </c>
      <c r="T16">
        <f t="shared" si="1"/>
        <v>6.97</v>
      </c>
    </row>
    <row r="17" spans="1:20" x14ac:dyDescent="0.25">
      <c r="A17" s="85" t="s">
        <v>6</v>
      </c>
      <c r="B17" s="23" t="s">
        <v>45</v>
      </c>
      <c r="C17" s="23" t="s">
        <v>63</v>
      </c>
      <c r="D17" s="294" t="s">
        <v>64</v>
      </c>
      <c r="E17" s="295"/>
      <c r="F17" s="295"/>
      <c r="G17" s="295"/>
      <c r="H17" s="295"/>
      <c r="I17" s="295"/>
      <c r="J17" s="296"/>
      <c r="K17" s="65">
        <v>25000</v>
      </c>
      <c r="L17" s="66" t="s">
        <v>65</v>
      </c>
      <c r="M17" s="39">
        <v>6.97</v>
      </c>
      <c r="N17" s="56">
        <v>8.27</v>
      </c>
      <c r="O17" s="86">
        <f t="shared" ref="O17:O26" si="2">K17*N17</f>
        <v>206750</v>
      </c>
      <c r="R17">
        <v>8.5299999999999994</v>
      </c>
      <c r="S17">
        <f t="shared" si="0"/>
        <v>8.5299999999999994</v>
      </c>
      <c r="T17">
        <f t="shared" si="1"/>
        <v>8.5299999999999994</v>
      </c>
    </row>
    <row r="18" spans="1:20" x14ac:dyDescent="0.25">
      <c r="A18" s="85" t="s">
        <v>7</v>
      </c>
      <c r="B18" s="23" t="s">
        <v>45</v>
      </c>
      <c r="C18" s="23" t="s">
        <v>66</v>
      </c>
      <c r="D18" s="294" t="s">
        <v>67</v>
      </c>
      <c r="E18" s="295"/>
      <c r="F18" s="295"/>
      <c r="G18" s="295"/>
      <c r="H18" s="295"/>
      <c r="I18" s="295"/>
      <c r="J18" s="296"/>
      <c r="K18" s="65">
        <v>84000</v>
      </c>
      <c r="L18" s="66" t="s">
        <v>65</v>
      </c>
      <c r="M18" s="39">
        <v>8.5299999999999994</v>
      </c>
      <c r="N18" s="56">
        <v>10.119999999999999</v>
      </c>
      <c r="O18" s="86">
        <f t="shared" si="2"/>
        <v>850079.99999999988</v>
      </c>
      <c r="R18">
        <v>80.010000000000005</v>
      </c>
      <c r="S18">
        <f t="shared" si="0"/>
        <v>80.010000000000005</v>
      </c>
      <c r="T18">
        <f t="shared" si="1"/>
        <v>80.010000000000005</v>
      </c>
    </row>
    <row r="19" spans="1:20" ht="30" x14ac:dyDescent="0.25">
      <c r="A19" s="99">
        <v>4011486</v>
      </c>
      <c r="B19" s="61" t="s">
        <v>68</v>
      </c>
      <c r="C19" s="61" t="s">
        <v>69</v>
      </c>
      <c r="D19" s="302" t="s">
        <v>70</v>
      </c>
      <c r="E19" s="303"/>
      <c r="F19" s="303"/>
      <c r="G19" s="303"/>
      <c r="H19" s="303"/>
      <c r="I19" s="303"/>
      <c r="J19" s="304"/>
      <c r="K19" s="47">
        <v>200</v>
      </c>
      <c r="L19" s="48" t="s">
        <v>71</v>
      </c>
      <c r="M19" s="39">
        <v>80.010000000000005</v>
      </c>
      <c r="N19" s="56"/>
      <c r="O19" s="89">
        <f t="shared" si="2"/>
        <v>0</v>
      </c>
      <c r="R19">
        <v>1.1200000000000001</v>
      </c>
      <c r="S19">
        <f t="shared" si="0"/>
        <v>1.1200000000000001</v>
      </c>
      <c r="T19">
        <f t="shared" si="1"/>
        <v>1.1200000000000001</v>
      </c>
    </row>
    <row r="20" spans="1:20" x14ac:dyDescent="0.25">
      <c r="A20" s="85">
        <v>72961</v>
      </c>
      <c r="B20" s="24" t="s">
        <v>49</v>
      </c>
      <c r="C20" s="23" t="s">
        <v>72</v>
      </c>
      <c r="D20" s="294" t="s">
        <v>73</v>
      </c>
      <c r="E20" s="295"/>
      <c r="F20" s="295"/>
      <c r="G20" s="295"/>
      <c r="H20" s="295"/>
      <c r="I20" s="295"/>
      <c r="J20" s="296"/>
      <c r="K20" s="65">
        <v>1000</v>
      </c>
      <c r="L20" s="66" t="s">
        <v>65</v>
      </c>
      <c r="M20" s="39">
        <v>1.1200000000000001</v>
      </c>
      <c r="N20" s="56">
        <v>1.27</v>
      </c>
      <c r="O20" s="86">
        <f t="shared" si="2"/>
        <v>1270</v>
      </c>
      <c r="R20">
        <v>86.82</v>
      </c>
      <c r="S20">
        <f t="shared" si="0"/>
        <v>86.82</v>
      </c>
      <c r="T20">
        <f t="shared" si="1"/>
        <v>86.82</v>
      </c>
    </row>
    <row r="21" spans="1:20" x14ac:dyDescent="0.25">
      <c r="A21" s="85">
        <v>73710</v>
      </c>
      <c r="B21" s="33" t="s">
        <v>49</v>
      </c>
      <c r="C21" s="23">
        <v>2.7</v>
      </c>
      <c r="D21" s="294" t="s">
        <v>74</v>
      </c>
      <c r="E21" s="295"/>
      <c r="F21" s="295"/>
      <c r="G21" s="295"/>
      <c r="H21" s="295"/>
      <c r="I21" s="295"/>
      <c r="J21" s="296"/>
      <c r="K21" s="65">
        <v>200</v>
      </c>
      <c r="L21" s="66" t="s">
        <v>71</v>
      </c>
      <c r="M21" s="39">
        <v>86.82</v>
      </c>
      <c r="N21" s="56">
        <v>103.05</v>
      </c>
      <c r="O21" s="86">
        <f t="shared" si="2"/>
        <v>20610</v>
      </c>
      <c r="R21">
        <v>0.91</v>
      </c>
      <c r="S21">
        <f t="shared" si="0"/>
        <v>0.91</v>
      </c>
      <c r="T21">
        <f t="shared" si="1"/>
        <v>0.91</v>
      </c>
    </row>
    <row r="22" spans="1:20" x14ac:dyDescent="0.25">
      <c r="A22" s="85">
        <v>95875</v>
      </c>
      <c r="B22" s="33" t="s">
        <v>49</v>
      </c>
      <c r="C22" s="23" t="s">
        <v>75</v>
      </c>
      <c r="D22" s="294" t="s">
        <v>76</v>
      </c>
      <c r="E22" s="295"/>
      <c r="F22" s="295"/>
      <c r="G22" s="295"/>
      <c r="H22" s="295"/>
      <c r="I22" s="295"/>
      <c r="J22" s="296"/>
      <c r="K22" s="65">
        <v>2000</v>
      </c>
      <c r="L22" s="66" t="s">
        <v>56</v>
      </c>
      <c r="M22" s="39">
        <v>0.91</v>
      </c>
      <c r="N22" s="56">
        <v>1.07</v>
      </c>
      <c r="O22" s="86">
        <f t="shared" si="2"/>
        <v>2140</v>
      </c>
      <c r="R22">
        <v>4.1900000000000004</v>
      </c>
      <c r="S22">
        <f t="shared" si="0"/>
        <v>4.1900000000000004</v>
      </c>
      <c r="T22">
        <f t="shared" si="1"/>
        <v>4.1900000000000004</v>
      </c>
    </row>
    <row r="23" spans="1:20" x14ac:dyDescent="0.25">
      <c r="A23" s="85">
        <v>72945</v>
      </c>
      <c r="B23" s="33" t="s">
        <v>49</v>
      </c>
      <c r="C23" s="23" t="s">
        <v>77</v>
      </c>
      <c r="D23" s="294" t="s">
        <v>78</v>
      </c>
      <c r="E23" s="295"/>
      <c r="F23" s="295"/>
      <c r="G23" s="295"/>
      <c r="H23" s="295"/>
      <c r="I23" s="295"/>
      <c r="J23" s="296"/>
      <c r="K23" s="65">
        <v>1000</v>
      </c>
      <c r="L23" s="66" t="s">
        <v>65</v>
      </c>
      <c r="M23" s="39">
        <v>4.1900000000000004</v>
      </c>
      <c r="N23" s="56">
        <v>4.97</v>
      </c>
      <c r="O23" s="86">
        <f t="shared" si="2"/>
        <v>4970</v>
      </c>
      <c r="R23">
        <v>1.1599999999999999</v>
      </c>
      <c r="S23">
        <f t="shared" si="0"/>
        <v>1.1599999999999999</v>
      </c>
      <c r="T23">
        <f t="shared" si="1"/>
        <v>1.1599999999999999</v>
      </c>
    </row>
    <row r="24" spans="1:20" x14ac:dyDescent="0.25">
      <c r="A24" s="85">
        <v>72942</v>
      </c>
      <c r="B24" s="33" t="s">
        <v>49</v>
      </c>
      <c r="C24" s="23" t="s">
        <v>79</v>
      </c>
      <c r="D24" s="294" t="s">
        <v>80</v>
      </c>
      <c r="E24" s="295"/>
      <c r="F24" s="295"/>
      <c r="G24" s="295"/>
      <c r="H24" s="295"/>
      <c r="I24" s="295"/>
      <c r="J24" s="296"/>
      <c r="K24" s="65">
        <v>109000</v>
      </c>
      <c r="L24" s="66" t="s">
        <v>65</v>
      </c>
      <c r="M24" s="39">
        <v>1.1599999999999999</v>
      </c>
      <c r="N24" s="56">
        <v>1.37</v>
      </c>
      <c r="O24" s="86">
        <f t="shared" si="2"/>
        <v>149330</v>
      </c>
      <c r="R24">
        <v>288.41000000000003</v>
      </c>
      <c r="S24">
        <f t="shared" si="0"/>
        <v>288.41000000000003</v>
      </c>
      <c r="T24">
        <f t="shared" si="1"/>
        <v>288.41000000000003</v>
      </c>
    </row>
    <row r="25" spans="1:20" x14ac:dyDescent="0.25">
      <c r="A25" s="85" t="s">
        <v>5</v>
      </c>
      <c r="B25" s="33" t="s">
        <v>45</v>
      </c>
      <c r="C25" s="23" t="s">
        <v>81</v>
      </c>
      <c r="D25" s="297" t="s">
        <v>82</v>
      </c>
      <c r="E25" s="298"/>
      <c r="F25" s="298"/>
      <c r="G25" s="298"/>
      <c r="H25" s="298"/>
      <c r="I25" s="298"/>
      <c r="J25" s="299"/>
      <c r="K25" s="65">
        <v>16000</v>
      </c>
      <c r="L25" s="66" t="s">
        <v>83</v>
      </c>
      <c r="M25" s="41">
        <v>288.41000000000003</v>
      </c>
      <c r="N25" s="56">
        <v>342.34</v>
      </c>
      <c r="O25" s="86">
        <f t="shared" si="2"/>
        <v>5477440</v>
      </c>
      <c r="R25">
        <v>0.65</v>
      </c>
      <c r="S25">
        <f t="shared" si="0"/>
        <v>0.65</v>
      </c>
      <c r="T25">
        <f t="shared" si="1"/>
        <v>0.65</v>
      </c>
    </row>
    <row r="26" spans="1:20" x14ac:dyDescent="0.25">
      <c r="A26" s="85">
        <v>95590</v>
      </c>
      <c r="B26" s="33" t="s">
        <v>49</v>
      </c>
      <c r="C26" s="23" t="s">
        <v>84</v>
      </c>
      <c r="D26" s="294" t="s">
        <v>85</v>
      </c>
      <c r="E26" s="295"/>
      <c r="F26" s="295"/>
      <c r="G26" s="295"/>
      <c r="H26" s="295"/>
      <c r="I26" s="295"/>
      <c r="J26" s="296"/>
      <c r="K26" s="65">
        <v>160000</v>
      </c>
      <c r="L26" s="66" t="s">
        <v>86</v>
      </c>
      <c r="M26" s="39">
        <v>0.65</v>
      </c>
      <c r="N26" s="56">
        <v>0.77</v>
      </c>
      <c r="O26" s="86">
        <f t="shared" si="2"/>
        <v>123200</v>
      </c>
      <c r="S26">
        <f t="shared" si="0"/>
        <v>0</v>
      </c>
      <c r="T26">
        <f t="shared" si="1"/>
        <v>0</v>
      </c>
    </row>
    <row r="27" spans="1:20" x14ac:dyDescent="0.25">
      <c r="A27" s="87"/>
      <c r="B27" s="24"/>
      <c r="C27" s="29"/>
      <c r="D27" s="300" t="s">
        <v>42</v>
      </c>
      <c r="E27" s="300"/>
      <c r="F27" s="300"/>
      <c r="G27" s="300"/>
      <c r="H27" s="300"/>
      <c r="I27" s="300"/>
      <c r="J27" s="300"/>
      <c r="K27" s="32"/>
      <c r="L27" s="32"/>
      <c r="M27" s="40"/>
      <c r="N27" s="58"/>
      <c r="O27" s="88">
        <f>SUM(O11:O26)</f>
        <v>6923243</v>
      </c>
      <c r="S27">
        <f t="shared" si="0"/>
        <v>0</v>
      </c>
      <c r="T27">
        <f t="shared" si="1"/>
        <v>0</v>
      </c>
    </row>
    <row r="28" spans="1:20" x14ac:dyDescent="0.25">
      <c r="A28" s="83"/>
      <c r="B28" s="68"/>
      <c r="C28" s="68">
        <v>3</v>
      </c>
      <c r="D28" s="301" t="s">
        <v>87</v>
      </c>
      <c r="E28" s="301"/>
      <c r="F28" s="301"/>
      <c r="G28" s="301"/>
      <c r="H28" s="301"/>
      <c r="I28" s="301"/>
      <c r="J28" s="301"/>
      <c r="K28" s="75"/>
      <c r="L28" s="75"/>
      <c r="M28" s="76"/>
      <c r="N28" s="78"/>
      <c r="O28" s="84"/>
      <c r="R28">
        <v>286.45</v>
      </c>
      <c r="S28">
        <f t="shared" si="0"/>
        <v>286.45</v>
      </c>
      <c r="T28">
        <f t="shared" si="1"/>
        <v>286.45</v>
      </c>
    </row>
    <row r="29" spans="1:20" ht="30" x14ac:dyDescent="0.25">
      <c r="A29" s="85">
        <v>4915678</v>
      </c>
      <c r="B29" s="33" t="s">
        <v>68</v>
      </c>
      <c r="C29" s="23" t="s">
        <v>88</v>
      </c>
      <c r="D29" s="297" t="s">
        <v>89</v>
      </c>
      <c r="E29" s="298"/>
      <c r="F29" s="298"/>
      <c r="G29" s="298"/>
      <c r="H29" s="298"/>
      <c r="I29" s="298"/>
      <c r="J29" s="299"/>
      <c r="K29" s="47">
        <v>7100</v>
      </c>
      <c r="L29" s="48" t="s">
        <v>90</v>
      </c>
      <c r="M29" s="41">
        <v>286.45</v>
      </c>
      <c r="N29" s="55">
        <v>340.01</v>
      </c>
      <c r="O29" s="89">
        <f>K29*N29</f>
        <v>2414071</v>
      </c>
      <c r="R29">
        <v>0.65</v>
      </c>
      <c r="S29">
        <f t="shared" si="0"/>
        <v>0.65</v>
      </c>
      <c r="T29">
        <f t="shared" si="1"/>
        <v>0.65</v>
      </c>
    </row>
    <row r="30" spans="1:20" x14ac:dyDescent="0.25">
      <c r="A30" s="85">
        <v>93590</v>
      </c>
      <c r="B30" s="33" t="s">
        <v>49</v>
      </c>
      <c r="C30" s="23" t="s">
        <v>91</v>
      </c>
      <c r="D30" s="294" t="s">
        <v>92</v>
      </c>
      <c r="E30" s="295"/>
      <c r="F30" s="295"/>
      <c r="G30" s="295"/>
      <c r="H30" s="295"/>
      <c r="I30" s="295"/>
      <c r="J30" s="296"/>
      <c r="K30" s="47">
        <v>70000</v>
      </c>
      <c r="L30" s="48" t="s">
        <v>93</v>
      </c>
      <c r="M30" s="39">
        <v>0.65</v>
      </c>
      <c r="N30" s="55">
        <v>0.77</v>
      </c>
      <c r="O30" s="86">
        <f>K30*N30</f>
        <v>53900</v>
      </c>
      <c r="S30" s="54"/>
    </row>
    <row r="31" spans="1:20" x14ac:dyDescent="0.25">
      <c r="A31" s="87"/>
      <c r="B31" s="24"/>
      <c r="C31" s="29"/>
      <c r="D31" s="300" t="s">
        <v>42</v>
      </c>
      <c r="E31" s="300"/>
      <c r="F31" s="300"/>
      <c r="G31" s="300"/>
      <c r="H31" s="300"/>
      <c r="I31" s="300"/>
      <c r="J31" s="300"/>
      <c r="K31" s="32"/>
      <c r="L31" s="24"/>
      <c r="M31" s="49"/>
      <c r="N31" s="49"/>
      <c r="O31" s="88">
        <f>SUM(O29:O30)</f>
        <v>2467971</v>
      </c>
    </row>
    <row r="32" spans="1:20" x14ac:dyDescent="0.25">
      <c r="A32" s="85"/>
      <c r="B32" s="33"/>
      <c r="C32" s="23"/>
      <c r="D32" s="294"/>
      <c r="E32" s="295"/>
      <c r="F32" s="295"/>
      <c r="G32" s="295"/>
      <c r="H32" s="295"/>
      <c r="I32" s="295"/>
      <c r="J32" s="296"/>
      <c r="K32" s="65"/>
      <c r="L32" s="26"/>
      <c r="M32" s="47"/>
      <c r="N32" s="50"/>
      <c r="O32" s="90"/>
    </row>
    <row r="33" spans="1:18" x14ac:dyDescent="0.25">
      <c r="A33" s="85"/>
      <c r="B33" s="33"/>
      <c r="C33" s="23"/>
      <c r="D33" s="294"/>
      <c r="E33" s="295"/>
      <c r="F33" s="295"/>
      <c r="G33" s="295"/>
      <c r="H33" s="295"/>
      <c r="I33" s="295"/>
      <c r="J33" s="296"/>
      <c r="K33" s="65"/>
      <c r="L33" s="26"/>
      <c r="M33" s="47"/>
      <c r="N33" s="50"/>
      <c r="O33" s="90"/>
    </row>
    <row r="34" spans="1:18" x14ac:dyDescent="0.25">
      <c r="A34" s="85"/>
      <c r="B34" s="33"/>
      <c r="C34" s="23"/>
      <c r="D34" s="294"/>
      <c r="E34" s="295"/>
      <c r="F34" s="295"/>
      <c r="G34" s="295"/>
      <c r="H34" s="295"/>
      <c r="I34" s="295"/>
      <c r="J34" s="296"/>
      <c r="K34" s="65"/>
      <c r="L34" s="26"/>
      <c r="M34" s="47"/>
      <c r="N34" s="50"/>
      <c r="O34" s="90"/>
    </row>
    <row r="35" spans="1:18" x14ac:dyDescent="0.25">
      <c r="A35" s="85"/>
      <c r="B35" s="33"/>
      <c r="C35" s="23"/>
      <c r="D35" s="294"/>
      <c r="E35" s="295"/>
      <c r="F35" s="295"/>
      <c r="G35" s="295"/>
      <c r="H35" s="295"/>
      <c r="I35" s="295"/>
      <c r="J35" s="296"/>
      <c r="K35" s="65"/>
      <c r="L35" s="26"/>
      <c r="M35" s="47"/>
      <c r="N35" s="50"/>
      <c r="O35" s="90"/>
    </row>
    <row r="36" spans="1:18" ht="15.75" thickBot="1" x14ac:dyDescent="0.3">
      <c r="A36" s="91"/>
      <c r="B36" s="92"/>
      <c r="C36" s="92"/>
      <c r="D36" s="92"/>
      <c r="E36" s="92"/>
      <c r="F36" s="92"/>
      <c r="G36" s="92"/>
      <c r="H36" s="92"/>
      <c r="I36" s="92"/>
      <c r="J36" s="93" t="s">
        <v>94</v>
      </c>
      <c r="K36" s="94"/>
      <c r="L36" s="95"/>
      <c r="M36" s="96"/>
      <c r="N36" s="96"/>
      <c r="O36" s="97">
        <f>O31+O27+O9</f>
        <v>9400000</v>
      </c>
      <c r="P36" s="57">
        <f>1-(O36/'Plan. Prefeitura'!O36)</f>
        <v>4.6725558068661965E-2</v>
      </c>
      <c r="R36" s="105">
        <f>9400000</f>
        <v>9400000</v>
      </c>
    </row>
    <row r="37" spans="1:18" x14ac:dyDescent="0.25">
      <c r="A37" s="35" t="s">
        <v>95</v>
      </c>
      <c r="R37">
        <f>R36/O36</f>
        <v>1</v>
      </c>
    </row>
    <row r="38" spans="1:18" x14ac:dyDescent="0.25">
      <c r="A38" t="s">
        <v>96</v>
      </c>
    </row>
  </sheetData>
  <mergeCells count="31">
    <mergeCell ref="D16:J16"/>
    <mergeCell ref="A1:J4"/>
    <mergeCell ref="K1:O4"/>
    <mergeCell ref="D5:J5"/>
    <mergeCell ref="D6:J6"/>
    <mergeCell ref="D9:J9"/>
    <mergeCell ref="D10:J10"/>
    <mergeCell ref="D11:J11"/>
    <mergeCell ref="D12:J12"/>
    <mergeCell ref="D13:J13"/>
    <mergeCell ref="D14:J14"/>
    <mergeCell ref="D15:J15"/>
    <mergeCell ref="D28:J28"/>
    <mergeCell ref="D17:J17"/>
    <mergeCell ref="D18:J18"/>
    <mergeCell ref="D19:J19"/>
    <mergeCell ref="D20:J20"/>
    <mergeCell ref="D21:J21"/>
    <mergeCell ref="D22:J22"/>
    <mergeCell ref="D23:J23"/>
    <mergeCell ref="D24:J24"/>
    <mergeCell ref="D25:J25"/>
    <mergeCell ref="D26:J26"/>
    <mergeCell ref="D27:J27"/>
    <mergeCell ref="D35:J35"/>
    <mergeCell ref="D29:J29"/>
    <mergeCell ref="D30:J30"/>
    <mergeCell ref="D31:J31"/>
    <mergeCell ref="D32:J32"/>
    <mergeCell ref="D33:J33"/>
    <mergeCell ref="D34:J34"/>
  </mergeCells>
  <pageMargins left="0.51181102362204722" right="0.51181102362204722" top="0.78740157480314965" bottom="0.78740157480314965" header="0.31496062992125984" footer="0.31496062992125984"/>
  <pageSetup paperSize="9" scale="8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33"/>
  <sheetViews>
    <sheetView view="pageBreakPreview" topLeftCell="A21" zoomScale="55" zoomScaleNormal="70" zoomScaleSheetLayoutView="55" workbookViewId="0">
      <selection activeCell="B8" sqref="B8:B9"/>
    </sheetView>
  </sheetViews>
  <sheetFormatPr defaultRowHeight="15" x14ac:dyDescent="0.25"/>
  <cols>
    <col min="1" max="1" width="122.7109375" customWidth="1"/>
    <col min="2" max="2" width="30.5703125" customWidth="1"/>
  </cols>
  <sheetData>
    <row r="1" spans="1:2" ht="36.75" customHeight="1" x14ac:dyDescent="0.25">
      <c r="A1" s="283" t="s">
        <v>9</v>
      </c>
      <c r="B1" s="284"/>
    </row>
    <row r="2" spans="1:2" ht="36.75" customHeight="1" x14ac:dyDescent="0.25">
      <c r="A2" s="285"/>
      <c r="B2" s="286"/>
    </row>
    <row r="3" spans="1:2" ht="97.5" customHeight="1" x14ac:dyDescent="0.25">
      <c r="A3" s="287" t="s">
        <v>14</v>
      </c>
      <c r="B3" s="288"/>
    </row>
    <row r="4" spans="1:2" ht="12.75" customHeight="1" thickBot="1" x14ac:dyDescent="0.3">
      <c r="A4" s="6"/>
      <c r="B4" s="7"/>
    </row>
    <row r="5" spans="1:2" ht="19.5" thickBot="1" x14ac:dyDescent="0.3">
      <c r="A5" s="281" t="s">
        <v>2</v>
      </c>
      <c r="B5" s="282"/>
    </row>
    <row r="6" spans="1:2" ht="18.75" x14ac:dyDescent="0.3">
      <c r="A6" s="2" t="s">
        <v>3</v>
      </c>
      <c r="B6" s="3" t="s">
        <v>4</v>
      </c>
    </row>
    <row r="7" spans="1:2" ht="18.75" x14ac:dyDescent="0.3">
      <c r="A7" s="17" t="s">
        <v>1</v>
      </c>
      <c r="B7" s="18"/>
    </row>
    <row r="8" spans="1:2" ht="45" x14ac:dyDescent="0.25">
      <c r="A8" s="4" t="s">
        <v>15</v>
      </c>
      <c r="B8" s="289">
        <f>'CPU-01 22%'!O9</f>
        <v>7055.5</v>
      </c>
    </row>
    <row r="9" spans="1:2" ht="45" x14ac:dyDescent="0.25">
      <c r="A9" s="4" t="s">
        <v>16</v>
      </c>
      <c r="B9" s="290"/>
    </row>
    <row r="10" spans="1:2" ht="18.75" x14ac:dyDescent="0.25">
      <c r="A10" s="19" t="s">
        <v>0</v>
      </c>
      <c r="B10" s="18"/>
    </row>
    <row r="11" spans="1:2" ht="75" x14ac:dyDescent="0.25">
      <c r="A11" s="4" t="s">
        <v>17</v>
      </c>
      <c r="B11" s="291">
        <f>'CPU-01 22%'!O27</f>
        <v>5284033</v>
      </c>
    </row>
    <row r="12" spans="1:2" ht="60" x14ac:dyDescent="0.25">
      <c r="A12" s="4" t="s">
        <v>18</v>
      </c>
      <c r="B12" s="292"/>
    </row>
    <row r="13" spans="1:2" ht="75" x14ac:dyDescent="0.25">
      <c r="A13" s="4" t="s">
        <v>19</v>
      </c>
      <c r="B13" s="292"/>
    </row>
    <row r="14" spans="1:2" ht="105" x14ac:dyDescent="0.25">
      <c r="A14" s="4" t="s">
        <v>20</v>
      </c>
      <c r="B14" s="292"/>
    </row>
    <row r="15" spans="1:2" ht="90" x14ac:dyDescent="0.25">
      <c r="A15" s="4" t="s">
        <v>21</v>
      </c>
      <c r="B15" s="292"/>
    </row>
    <row r="16" spans="1:2" ht="60" x14ac:dyDescent="0.25">
      <c r="A16" s="4" t="s">
        <v>22</v>
      </c>
      <c r="B16" s="292"/>
    </row>
    <row r="17" spans="1:2" ht="90" x14ac:dyDescent="0.25">
      <c r="A17" s="4" t="s">
        <v>23</v>
      </c>
      <c r="B17" s="292"/>
    </row>
    <row r="18" spans="1:2" ht="270" x14ac:dyDescent="0.25">
      <c r="A18" s="4" t="s">
        <v>24</v>
      </c>
      <c r="B18" s="293"/>
    </row>
    <row r="19" spans="1:2" ht="18.75" x14ac:dyDescent="0.25">
      <c r="A19" s="19" t="s">
        <v>26</v>
      </c>
      <c r="B19" s="18"/>
    </row>
    <row r="20" spans="1:2" ht="120.75" thickBot="1" x14ac:dyDescent="0.3">
      <c r="A20" s="4" t="s">
        <v>25</v>
      </c>
      <c r="B20" s="73">
        <f>'CPU-01 22%'!O31</f>
        <v>2372192</v>
      </c>
    </row>
    <row r="21" spans="1:2" ht="32.25" thickBot="1" x14ac:dyDescent="0.55000000000000004">
      <c r="A21" s="5" t="s">
        <v>10</v>
      </c>
      <c r="B21" s="74">
        <f>B8+B11+B20</f>
        <v>7663280.5</v>
      </c>
    </row>
    <row r="22" spans="1:2" ht="18.75" x14ac:dyDescent="0.3">
      <c r="A22" s="8"/>
      <c r="B22" s="9"/>
    </row>
    <row r="23" spans="1:2" ht="18.75" x14ac:dyDescent="0.3">
      <c r="A23" s="10" t="s">
        <v>13</v>
      </c>
      <c r="B23" s="11"/>
    </row>
    <row r="24" spans="1:2" ht="18.75" x14ac:dyDescent="0.3">
      <c r="A24" s="12"/>
      <c r="B24" s="11"/>
    </row>
    <row r="25" spans="1:2" ht="18.75" x14ac:dyDescent="0.3">
      <c r="A25" s="12"/>
      <c r="B25" s="11"/>
    </row>
    <row r="26" spans="1:2" ht="18.75" x14ac:dyDescent="0.25">
      <c r="A26" s="20" t="s">
        <v>27</v>
      </c>
      <c r="B26" s="11"/>
    </row>
    <row r="27" spans="1:2" ht="18.75" x14ac:dyDescent="0.3">
      <c r="A27" s="13"/>
      <c r="B27" s="11"/>
    </row>
    <row r="28" spans="1:2" ht="55.5" customHeight="1" x14ac:dyDescent="0.3">
      <c r="A28" s="14" t="s">
        <v>12</v>
      </c>
      <c r="B28" s="11"/>
    </row>
    <row r="29" spans="1:2" s="1" customFormat="1" ht="25.5" customHeight="1" x14ac:dyDescent="0.3">
      <c r="A29" s="14" t="s">
        <v>11</v>
      </c>
      <c r="B29" s="15"/>
    </row>
    <row r="30" spans="1:2" ht="25.5" customHeight="1" x14ac:dyDescent="0.3">
      <c r="A30" s="14" t="s">
        <v>29</v>
      </c>
      <c r="B30" s="11"/>
    </row>
    <row r="31" spans="1:2" ht="25.5" customHeight="1" x14ac:dyDescent="0.3">
      <c r="A31" s="14" t="s">
        <v>28</v>
      </c>
      <c r="B31" s="11"/>
    </row>
    <row r="32" spans="1:2" x14ac:dyDescent="0.25">
      <c r="A32" s="16"/>
      <c r="B32" s="11"/>
    </row>
    <row r="33" spans="1:2" ht="15.75" thickBot="1" x14ac:dyDescent="0.3">
      <c r="A33" s="6"/>
      <c r="B33" s="7"/>
    </row>
  </sheetData>
  <mergeCells count="5">
    <mergeCell ref="A1:B2"/>
    <mergeCell ref="A3:B3"/>
    <mergeCell ref="A5:B5"/>
    <mergeCell ref="B8:B9"/>
    <mergeCell ref="B11:B18"/>
  </mergeCells>
  <printOptions horizontalCentered="1"/>
  <pageMargins left="0.51181102362204722" right="0.51181102362204722" top="0.55118110236220474" bottom="0.55118110236220474" header="0.31496062992125984" footer="0.31496062992125984"/>
  <pageSetup paperSize="9" scale="61" orientation="portrait" r:id="rId1"/>
  <headerFooter>
    <oddFooter>&amp;R&amp;P de &amp;N</oddFooter>
  </headerFooter>
  <rowBreaks count="1" manualBreakCount="1">
    <brk id="1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S38"/>
  <sheetViews>
    <sheetView view="pageBreakPreview" topLeftCell="A26" zoomScaleSheetLayoutView="100" workbookViewId="0">
      <selection activeCell="B8" sqref="B8:B9"/>
    </sheetView>
  </sheetViews>
  <sheetFormatPr defaultRowHeight="15" x14ac:dyDescent="0.25"/>
  <cols>
    <col min="1" max="1" width="10.28515625" customWidth="1"/>
    <col min="10" max="10" width="36.85546875" customWidth="1"/>
    <col min="11" max="11" width="11.5703125" bestFit="1" customWidth="1"/>
    <col min="14" max="14" width="11" bestFit="1" customWidth="1"/>
    <col min="15" max="15" width="13.28515625" bestFit="1" customWidth="1"/>
    <col min="17" max="19" width="0" hidden="1" customWidth="1"/>
  </cols>
  <sheetData>
    <row r="1" spans="1:19" x14ac:dyDescent="0.25">
      <c r="A1" s="305" t="s">
        <v>30</v>
      </c>
      <c r="B1" s="306"/>
      <c r="C1" s="306"/>
      <c r="D1" s="306"/>
      <c r="E1" s="306"/>
      <c r="F1" s="306"/>
      <c r="G1" s="306"/>
      <c r="H1" s="306"/>
      <c r="I1" s="306"/>
      <c r="J1" s="306"/>
      <c r="K1" s="309" t="s">
        <v>31</v>
      </c>
      <c r="L1" s="309"/>
      <c r="M1" s="309"/>
      <c r="N1" s="309"/>
      <c r="O1" s="310"/>
    </row>
    <row r="2" spans="1:19" x14ac:dyDescent="0.25">
      <c r="A2" s="307"/>
      <c r="B2" s="308"/>
      <c r="C2" s="308"/>
      <c r="D2" s="308"/>
      <c r="E2" s="308"/>
      <c r="F2" s="308"/>
      <c r="G2" s="308"/>
      <c r="H2" s="308"/>
      <c r="I2" s="308"/>
      <c r="J2" s="308"/>
      <c r="K2" s="311"/>
      <c r="L2" s="311"/>
      <c r="M2" s="311"/>
      <c r="N2" s="311"/>
      <c r="O2" s="312"/>
    </row>
    <row r="3" spans="1:19" x14ac:dyDescent="0.25">
      <c r="A3" s="307"/>
      <c r="B3" s="308"/>
      <c r="C3" s="308"/>
      <c r="D3" s="308"/>
      <c r="E3" s="308"/>
      <c r="F3" s="308"/>
      <c r="G3" s="308"/>
      <c r="H3" s="308"/>
      <c r="I3" s="308"/>
      <c r="J3" s="308"/>
      <c r="K3" s="311"/>
      <c r="L3" s="311"/>
      <c r="M3" s="311"/>
      <c r="N3" s="311"/>
      <c r="O3" s="312"/>
    </row>
    <row r="4" spans="1:19" x14ac:dyDescent="0.25">
      <c r="A4" s="307"/>
      <c r="B4" s="308"/>
      <c r="C4" s="308"/>
      <c r="D4" s="308"/>
      <c r="E4" s="308"/>
      <c r="F4" s="308"/>
      <c r="G4" s="308"/>
      <c r="H4" s="308"/>
      <c r="I4" s="308"/>
      <c r="J4" s="308"/>
      <c r="K4" s="311"/>
      <c r="L4" s="311"/>
      <c r="M4" s="311"/>
      <c r="N4" s="311"/>
      <c r="O4" s="312"/>
    </row>
    <row r="5" spans="1:19" ht="45" x14ac:dyDescent="0.25">
      <c r="A5" s="81" t="s">
        <v>8</v>
      </c>
      <c r="B5" s="45"/>
      <c r="C5" s="45" t="s">
        <v>32</v>
      </c>
      <c r="D5" s="313" t="s">
        <v>33</v>
      </c>
      <c r="E5" s="313"/>
      <c r="F5" s="313"/>
      <c r="G5" s="313"/>
      <c r="H5" s="313"/>
      <c r="I5" s="313"/>
      <c r="J5" s="313"/>
      <c r="K5" s="38" t="s">
        <v>34</v>
      </c>
      <c r="L5" s="38" t="s">
        <v>35</v>
      </c>
      <c r="M5" s="45" t="s">
        <v>98</v>
      </c>
      <c r="N5" s="45" t="s">
        <v>97</v>
      </c>
      <c r="O5" s="82" t="s">
        <v>99</v>
      </c>
      <c r="Q5" s="54">
        <f>N7/M7</f>
        <v>1.2412342215988779</v>
      </c>
      <c r="R5">
        <v>1.2419354838709677</v>
      </c>
    </row>
    <row r="6" spans="1:19" x14ac:dyDescent="0.25">
      <c r="A6" s="83"/>
      <c r="B6" s="68"/>
      <c r="C6" s="68">
        <v>1</v>
      </c>
      <c r="D6" s="301" t="s">
        <v>36</v>
      </c>
      <c r="E6" s="301"/>
      <c r="F6" s="301"/>
      <c r="G6" s="301"/>
      <c r="H6" s="301"/>
      <c r="I6" s="301"/>
      <c r="J6" s="301"/>
      <c r="K6" s="69"/>
      <c r="L6" s="69"/>
      <c r="M6" s="70"/>
      <c r="N6" s="70"/>
      <c r="O6" s="84"/>
    </row>
    <row r="7" spans="1:19" x14ac:dyDescent="0.25">
      <c r="A7" s="85">
        <v>90106</v>
      </c>
      <c r="B7" s="21"/>
      <c r="C7" s="23" t="s">
        <v>37</v>
      </c>
      <c r="D7" s="24" t="s">
        <v>38</v>
      </c>
      <c r="E7" s="21"/>
      <c r="F7" s="21"/>
      <c r="G7" s="21"/>
      <c r="H7" s="21"/>
      <c r="I7" s="21"/>
      <c r="J7" s="21"/>
      <c r="K7" s="25">
        <v>50</v>
      </c>
      <c r="L7" s="66" t="s">
        <v>39</v>
      </c>
      <c r="M7" s="44">
        <v>7.13</v>
      </c>
      <c r="N7" s="59">
        <f>TRUNC(M7*$R$5,2)</f>
        <v>8.85</v>
      </c>
      <c r="O7" s="90">
        <f>K7*N7</f>
        <v>442.5</v>
      </c>
      <c r="Q7" s="54">
        <v>7.21</v>
      </c>
      <c r="R7" s="54">
        <f>TRUNC(Q7*0.99,2)</f>
        <v>7.13</v>
      </c>
      <c r="S7" s="54"/>
    </row>
    <row r="8" spans="1:19" x14ac:dyDescent="0.25">
      <c r="A8" s="85">
        <v>6454</v>
      </c>
      <c r="B8" s="24"/>
      <c r="C8" s="23" t="s">
        <v>40</v>
      </c>
      <c r="D8" s="24" t="s">
        <v>41</v>
      </c>
      <c r="E8" s="24"/>
      <c r="F8" s="24"/>
      <c r="G8" s="24"/>
      <c r="H8" s="24"/>
      <c r="I8" s="24"/>
      <c r="J8" s="24"/>
      <c r="K8" s="25">
        <v>50</v>
      </c>
      <c r="L8" s="66" t="s">
        <v>39</v>
      </c>
      <c r="M8" s="44">
        <v>106.5</v>
      </c>
      <c r="N8" s="59">
        <f t="shared" ref="N8:N30" si="0">TRUNC(M8*$R$5,2)</f>
        <v>132.26</v>
      </c>
      <c r="O8" s="90">
        <f>K8*N8</f>
        <v>6613</v>
      </c>
      <c r="Q8">
        <v>107.58</v>
      </c>
      <c r="R8">
        <f>TRUNC(Q8*0.99,2)</f>
        <v>106.5</v>
      </c>
      <c r="S8" s="54"/>
    </row>
    <row r="9" spans="1:19" x14ac:dyDescent="0.25">
      <c r="A9" s="87"/>
      <c r="B9" s="24"/>
      <c r="C9" s="29"/>
      <c r="D9" s="300" t="s">
        <v>42</v>
      </c>
      <c r="E9" s="300"/>
      <c r="F9" s="300"/>
      <c r="G9" s="300"/>
      <c r="H9" s="300"/>
      <c r="I9" s="300"/>
      <c r="J9" s="300"/>
      <c r="K9" s="24"/>
      <c r="L9" s="32"/>
      <c r="M9" s="36"/>
      <c r="N9" s="60"/>
      <c r="O9" s="98">
        <f>SUM(O7:O8)</f>
        <v>7055.5</v>
      </c>
      <c r="S9" s="54"/>
    </row>
    <row r="10" spans="1:19" x14ac:dyDescent="0.25">
      <c r="A10" s="83"/>
      <c r="B10" s="68"/>
      <c r="C10" s="68">
        <v>2</v>
      </c>
      <c r="D10" s="301" t="s">
        <v>43</v>
      </c>
      <c r="E10" s="301"/>
      <c r="F10" s="301"/>
      <c r="G10" s="301"/>
      <c r="H10" s="301"/>
      <c r="I10" s="301"/>
      <c r="J10" s="301"/>
      <c r="K10" s="69"/>
      <c r="L10" s="75"/>
      <c r="M10" s="79"/>
      <c r="N10" s="71"/>
      <c r="O10" s="84"/>
      <c r="S10" s="54"/>
    </row>
    <row r="11" spans="1:19" x14ac:dyDescent="0.25">
      <c r="A11" s="99" t="s">
        <v>44</v>
      </c>
      <c r="B11" s="61" t="s">
        <v>45</v>
      </c>
      <c r="C11" s="61" t="s">
        <v>46</v>
      </c>
      <c r="D11" s="302" t="s">
        <v>47</v>
      </c>
      <c r="E11" s="303"/>
      <c r="F11" s="303"/>
      <c r="G11" s="303"/>
      <c r="H11" s="303"/>
      <c r="I11" s="303"/>
      <c r="J11" s="304"/>
      <c r="K11" s="43">
        <v>200</v>
      </c>
      <c r="L11" s="48" t="s">
        <v>48</v>
      </c>
      <c r="M11" s="44">
        <v>7.22</v>
      </c>
      <c r="N11" s="59">
        <f t="shared" si="0"/>
        <v>8.9600000000000009</v>
      </c>
      <c r="O11" s="100">
        <f>K11*N11</f>
        <v>1792.0000000000002</v>
      </c>
      <c r="Q11">
        <v>7.3</v>
      </c>
      <c r="R11">
        <f t="shared" ref="R11:R15" si="1">TRUNC(Q11*0.99,2)</f>
        <v>7.22</v>
      </c>
      <c r="S11" s="54"/>
    </row>
    <row r="12" spans="1:19" x14ac:dyDescent="0.25">
      <c r="A12" s="99">
        <v>85366</v>
      </c>
      <c r="B12" s="42" t="s">
        <v>49</v>
      </c>
      <c r="C12" s="61" t="s">
        <v>50</v>
      </c>
      <c r="D12" s="302" t="s">
        <v>51</v>
      </c>
      <c r="E12" s="303"/>
      <c r="F12" s="303"/>
      <c r="G12" s="303"/>
      <c r="H12" s="303"/>
      <c r="I12" s="303"/>
      <c r="J12" s="304"/>
      <c r="K12" s="43">
        <v>1000</v>
      </c>
      <c r="L12" s="48" t="s">
        <v>48</v>
      </c>
      <c r="M12" s="44">
        <v>13.59</v>
      </c>
      <c r="N12" s="59">
        <f t="shared" si="0"/>
        <v>16.87</v>
      </c>
      <c r="O12" s="100">
        <f>K12*N12</f>
        <v>16870</v>
      </c>
      <c r="Q12">
        <v>13.73</v>
      </c>
      <c r="R12">
        <f t="shared" si="1"/>
        <v>13.59</v>
      </c>
      <c r="S12" s="54"/>
    </row>
    <row r="13" spans="1:19" x14ac:dyDescent="0.25">
      <c r="A13" s="99">
        <v>74010</v>
      </c>
      <c r="B13" s="42" t="s">
        <v>49</v>
      </c>
      <c r="C13" s="49" t="s">
        <v>52</v>
      </c>
      <c r="D13" s="302" t="s">
        <v>53</v>
      </c>
      <c r="E13" s="303"/>
      <c r="F13" s="303"/>
      <c r="G13" s="303"/>
      <c r="H13" s="303"/>
      <c r="I13" s="303"/>
      <c r="J13" s="304"/>
      <c r="K13" s="43">
        <v>6700</v>
      </c>
      <c r="L13" s="48" t="s">
        <v>39</v>
      </c>
      <c r="M13" s="44">
        <v>1.1000000000000001</v>
      </c>
      <c r="N13" s="59">
        <f t="shared" si="0"/>
        <v>1.36</v>
      </c>
      <c r="O13" s="100">
        <f>K13*N13</f>
        <v>9112</v>
      </c>
      <c r="Q13">
        <v>1.1200000000000001</v>
      </c>
      <c r="R13">
        <f t="shared" si="1"/>
        <v>1.1000000000000001</v>
      </c>
      <c r="S13" s="54"/>
    </row>
    <row r="14" spans="1:19" x14ac:dyDescent="0.25">
      <c r="A14" s="99">
        <v>83358</v>
      </c>
      <c r="B14" s="42" t="s">
        <v>49</v>
      </c>
      <c r="C14" s="61" t="s">
        <v>54</v>
      </c>
      <c r="D14" s="302" t="s">
        <v>55</v>
      </c>
      <c r="E14" s="303"/>
      <c r="F14" s="303"/>
      <c r="G14" s="303"/>
      <c r="H14" s="303"/>
      <c r="I14" s="303"/>
      <c r="J14" s="304"/>
      <c r="K14" s="43">
        <v>33500</v>
      </c>
      <c r="L14" s="48" t="s">
        <v>56</v>
      </c>
      <c r="M14" s="44">
        <v>1.26</v>
      </c>
      <c r="N14" s="59">
        <f t="shared" si="0"/>
        <v>1.56</v>
      </c>
      <c r="O14" s="101">
        <f>K14*N14</f>
        <v>52260</v>
      </c>
      <c r="Q14">
        <v>1.28</v>
      </c>
      <c r="R14">
        <f t="shared" si="1"/>
        <v>1.26</v>
      </c>
      <c r="S14" s="54"/>
    </row>
    <row r="15" spans="1:19" x14ac:dyDescent="0.25">
      <c r="A15" s="99" t="s">
        <v>57</v>
      </c>
      <c r="B15" s="61" t="s">
        <v>45</v>
      </c>
      <c r="C15" s="61" t="s">
        <v>58</v>
      </c>
      <c r="D15" s="302" t="s">
        <v>59</v>
      </c>
      <c r="E15" s="303"/>
      <c r="F15" s="303"/>
      <c r="G15" s="303"/>
      <c r="H15" s="303"/>
      <c r="I15" s="303"/>
      <c r="J15" s="304"/>
      <c r="K15" s="43">
        <v>250</v>
      </c>
      <c r="L15" s="48" t="s">
        <v>60</v>
      </c>
      <c r="M15" s="44">
        <v>1.08</v>
      </c>
      <c r="N15" s="59">
        <f t="shared" si="0"/>
        <v>1.34</v>
      </c>
      <c r="O15" s="100">
        <f>K15*N15</f>
        <v>335</v>
      </c>
      <c r="Q15">
        <v>1.1000000000000001</v>
      </c>
      <c r="R15">
        <f t="shared" si="1"/>
        <v>1.08</v>
      </c>
      <c r="S15" s="54"/>
    </row>
    <row r="16" spans="1:19" x14ac:dyDescent="0.25">
      <c r="A16" s="99">
        <v>2020</v>
      </c>
      <c r="B16" s="61" t="s">
        <v>45</v>
      </c>
      <c r="C16" s="61" t="s">
        <v>61</v>
      </c>
      <c r="D16" s="302" t="s">
        <v>62</v>
      </c>
      <c r="E16" s="303"/>
      <c r="F16" s="303"/>
      <c r="G16" s="303"/>
      <c r="H16" s="303"/>
      <c r="I16" s="303"/>
      <c r="J16" s="304"/>
      <c r="K16" s="43"/>
      <c r="L16" s="48"/>
      <c r="M16" s="44"/>
      <c r="N16" s="59"/>
      <c r="O16" s="100"/>
      <c r="S16" s="54"/>
    </row>
    <row r="17" spans="1:19" x14ac:dyDescent="0.25">
      <c r="A17" s="99" t="s">
        <v>6</v>
      </c>
      <c r="B17" s="61" t="s">
        <v>45</v>
      </c>
      <c r="C17" s="61" t="s">
        <v>63</v>
      </c>
      <c r="D17" s="302" t="s">
        <v>64</v>
      </c>
      <c r="E17" s="303"/>
      <c r="F17" s="303"/>
      <c r="G17" s="303"/>
      <c r="H17" s="303"/>
      <c r="I17" s="303"/>
      <c r="J17" s="304"/>
      <c r="K17" s="43">
        <v>25000</v>
      </c>
      <c r="L17" s="48" t="s">
        <v>65</v>
      </c>
      <c r="M17" s="44">
        <v>3.1</v>
      </c>
      <c r="N17" s="59">
        <f t="shared" si="0"/>
        <v>3.85</v>
      </c>
      <c r="O17" s="101">
        <f t="shared" ref="O17:O26" si="2">K17*N17</f>
        <v>96250</v>
      </c>
      <c r="Q17">
        <v>3.14</v>
      </c>
      <c r="R17">
        <f t="shared" ref="R17:R26" si="3">TRUNC(Q17*0.99,2)</f>
        <v>3.1</v>
      </c>
      <c r="S17" s="54"/>
    </row>
    <row r="18" spans="1:19" x14ac:dyDescent="0.25">
      <c r="A18" s="99" t="s">
        <v>7</v>
      </c>
      <c r="B18" s="61" t="s">
        <v>45</v>
      </c>
      <c r="C18" s="61" t="s">
        <v>66</v>
      </c>
      <c r="D18" s="302" t="s">
        <v>67</v>
      </c>
      <c r="E18" s="303"/>
      <c r="F18" s="303"/>
      <c r="G18" s="303"/>
      <c r="H18" s="303"/>
      <c r="I18" s="303"/>
      <c r="J18" s="304"/>
      <c r="K18" s="43">
        <v>84000</v>
      </c>
      <c r="L18" s="48" t="s">
        <v>65</v>
      </c>
      <c r="M18" s="44">
        <v>5.03</v>
      </c>
      <c r="N18" s="59">
        <f t="shared" si="0"/>
        <v>6.24</v>
      </c>
      <c r="O18" s="101">
        <f t="shared" si="2"/>
        <v>524160</v>
      </c>
      <c r="Q18">
        <v>5.09</v>
      </c>
      <c r="R18">
        <f t="shared" si="3"/>
        <v>5.03</v>
      </c>
      <c r="S18" s="54"/>
    </row>
    <row r="19" spans="1:19" ht="30" x14ac:dyDescent="0.25">
      <c r="A19" s="99">
        <v>4011486</v>
      </c>
      <c r="B19" s="61" t="s">
        <v>68</v>
      </c>
      <c r="C19" s="61" t="s">
        <v>69</v>
      </c>
      <c r="D19" s="302" t="s">
        <v>70</v>
      </c>
      <c r="E19" s="303"/>
      <c r="F19" s="303"/>
      <c r="G19" s="303"/>
      <c r="H19" s="303"/>
      <c r="I19" s="303"/>
      <c r="J19" s="304"/>
      <c r="K19" s="43">
        <v>200</v>
      </c>
      <c r="L19" s="48" t="s">
        <v>71</v>
      </c>
      <c r="M19" s="44">
        <v>61.45</v>
      </c>
      <c r="N19" s="59">
        <f t="shared" si="0"/>
        <v>76.31</v>
      </c>
      <c r="O19" s="100">
        <f t="shared" si="2"/>
        <v>15262</v>
      </c>
      <c r="Q19">
        <v>62.08</v>
      </c>
      <c r="R19">
        <f t="shared" si="3"/>
        <v>61.45</v>
      </c>
      <c r="S19" s="54"/>
    </row>
    <row r="20" spans="1:19" x14ac:dyDescent="0.25">
      <c r="A20" s="99">
        <v>72961</v>
      </c>
      <c r="B20" s="42" t="s">
        <v>49</v>
      </c>
      <c r="C20" s="61" t="s">
        <v>72</v>
      </c>
      <c r="D20" s="302" t="s">
        <v>73</v>
      </c>
      <c r="E20" s="303"/>
      <c r="F20" s="303"/>
      <c r="G20" s="303"/>
      <c r="H20" s="303"/>
      <c r="I20" s="303"/>
      <c r="J20" s="304"/>
      <c r="K20" s="43">
        <v>1000</v>
      </c>
      <c r="L20" s="48" t="s">
        <v>65</v>
      </c>
      <c r="M20" s="44">
        <v>0.85</v>
      </c>
      <c r="N20" s="59">
        <f t="shared" si="0"/>
        <v>1.05</v>
      </c>
      <c r="O20" s="100">
        <f t="shared" si="2"/>
        <v>1050</v>
      </c>
      <c r="Q20">
        <v>0.86</v>
      </c>
      <c r="R20">
        <f t="shared" si="3"/>
        <v>0.85</v>
      </c>
      <c r="S20" s="54"/>
    </row>
    <row r="21" spans="1:19" x14ac:dyDescent="0.25">
      <c r="A21" s="99">
        <v>73710</v>
      </c>
      <c r="B21" s="62" t="s">
        <v>49</v>
      </c>
      <c r="C21" s="61">
        <v>2.7</v>
      </c>
      <c r="D21" s="302" t="s">
        <v>74</v>
      </c>
      <c r="E21" s="303"/>
      <c r="F21" s="303"/>
      <c r="G21" s="303"/>
      <c r="H21" s="303"/>
      <c r="I21" s="303"/>
      <c r="J21" s="304"/>
      <c r="K21" s="43">
        <v>200</v>
      </c>
      <c r="L21" s="48" t="s">
        <v>71</v>
      </c>
      <c r="M21" s="44">
        <v>66.680000000000007</v>
      </c>
      <c r="N21" s="59">
        <f t="shared" si="0"/>
        <v>82.81</v>
      </c>
      <c r="O21" s="100">
        <f t="shared" si="2"/>
        <v>16562</v>
      </c>
      <c r="Q21">
        <v>67.36</v>
      </c>
      <c r="R21">
        <f t="shared" si="3"/>
        <v>66.680000000000007</v>
      </c>
      <c r="S21" s="54"/>
    </row>
    <row r="22" spans="1:19" x14ac:dyDescent="0.25">
      <c r="A22" s="99">
        <v>95875</v>
      </c>
      <c r="B22" s="62" t="s">
        <v>49</v>
      </c>
      <c r="C22" s="61" t="s">
        <v>75</v>
      </c>
      <c r="D22" s="302" t="s">
        <v>76</v>
      </c>
      <c r="E22" s="303"/>
      <c r="F22" s="303"/>
      <c r="G22" s="303"/>
      <c r="H22" s="303"/>
      <c r="I22" s="303"/>
      <c r="J22" s="304"/>
      <c r="K22" s="43">
        <v>2000</v>
      </c>
      <c r="L22" s="48" t="s">
        <v>56</v>
      </c>
      <c r="M22" s="44">
        <v>0.68</v>
      </c>
      <c r="N22" s="59">
        <f t="shared" si="0"/>
        <v>0.84</v>
      </c>
      <c r="O22" s="100">
        <f t="shared" si="2"/>
        <v>1680</v>
      </c>
      <c r="Q22">
        <v>0.69</v>
      </c>
      <c r="R22">
        <f t="shared" si="3"/>
        <v>0.68</v>
      </c>
      <c r="S22" s="54"/>
    </row>
    <row r="23" spans="1:19" x14ac:dyDescent="0.25">
      <c r="A23" s="99">
        <v>72945</v>
      </c>
      <c r="B23" s="62" t="s">
        <v>49</v>
      </c>
      <c r="C23" s="61" t="s">
        <v>77</v>
      </c>
      <c r="D23" s="302" t="s">
        <v>78</v>
      </c>
      <c r="E23" s="303"/>
      <c r="F23" s="303"/>
      <c r="G23" s="303"/>
      <c r="H23" s="303"/>
      <c r="I23" s="303"/>
      <c r="J23" s="304"/>
      <c r="K23" s="43">
        <v>1000</v>
      </c>
      <c r="L23" s="48" t="s">
        <v>65</v>
      </c>
      <c r="M23" s="44">
        <v>3.2</v>
      </c>
      <c r="N23" s="59">
        <f t="shared" si="0"/>
        <v>3.97</v>
      </c>
      <c r="O23" s="100">
        <f t="shared" si="2"/>
        <v>3970</v>
      </c>
      <c r="Q23">
        <v>3.24</v>
      </c>
      <c r="R23">
        <f t="shared" si="3"/>
        <v>3.2</v>
      </c>
      <c r="S23" s="54"/>
    </row>
    <row r="24" spans="1:19" x14ac:dyDescent="0.25">
      <c r="A24" s="99">
        <v>72942</v>
      </c>
      <c r="B24" s="62" t="s">
        <v>49</v>
      </c>
      <c r="C24" s="61" t="s">
        <v>79</v>
      </c>
      <c r="D24" s="302" t="s">
        <v>80</v>
      </c>
      <c r="E24" s="303"/>
      <c r="F24" s="303"/>
      <c r="G24" s="303"/>
      <c r="H24" s="303"/>
      <c r="I24" s="303"/>
      <c r="J24" s="304"/>
      <c r="K24" s="43">
        <v>109000</v>
      </c>
      <c r="L24" s="48" t="s">
        <v>65</v>
      </c>
      <c r="M24" s="44">
        <v>0.88</v>
      </c>
      <c r="N24" s="59">
        <f t="shared" si="0"/>
        <v>1.0900000000000001</v>
      </c>
      <c r="O24" s="100">
        <f t="shared" si="2"/>
        <v>118810.00000000001</v>
      </c>
      <c r="Q24">
        <v>0.89</v>
      </c>
      <c r="R24">
        <f t="shared" si="3"/>
        <v>0.88</v>
      </c>
      <c r="S24" s="54"/>
    </row>
    <row r="25" spans="1:19" x14ac:dyDescent="0.25">
      <c r="A25" s="99" t="s">
        <v>5</v>
      </c>
      <c r="B25" s="62" t="s">
        <v>45</v>
      </c>
      <c r="C25" s="61" t="s">
        <v>81</v>
      </c>
      <c r="D25" s="314" t="s">
        <v>82</v>
      </c>
      <c r="E25" s="315"/>
      <c r="F25" s="315"/>
      <c r="G25" s="315"/>
      <c r="H25" s="315"/>
      <c r="I25" s="315"/>
      <c r="J25" s="316"/>
      <c r="K25" s="43">
        <v>16000</v>
      </c>
      <c r="L25" s="48" t="s">
        <v>83</v>
      </c>
      <c r="M25" s="80">
        <v>216.54</v>
      </c>
      <c r="N25" s="59">
        <f t="shared" si="0"/>
        <v>268.92</v>
      </c>
      <c r="O25" s="101">
        <f t="shared" si="2"/>
        <v>4302720</v>
      </c>
      <c r="Q25">
        <v>218.73</v>
      </c>
      <c r="R25">
        <f t="shared" si="3"/>
        <v>216.54</v>
      </c>
      <c r="S25" s="54"/>
    </row>
    <row r="26" spans="1:19" x14ac:dyDescent="0.25">
      <c r="A26" s="99">
        <v>95590</v>
      </c>
      <c r="B26" s="62" t="s">
        <v>49</v>
      </c>
      <c r="C26" s="61" t="s">
        <v>84</v>
      </c>
      <c r="D26" s="302" t="s">
        <v>85</v>
      </c>
      <c r="E26" s="303"/>
      <c r="F26" s="303"/>
      <c r="G26" s="303"/>
      <c r="H26" s="303"/>
      <c r="I26" s="303"/>
      <c r="J26" s="304"/>
      <c r="K26" s="43">
        <v>160000</v>
      </c>
      <c r="L26" s="48" t="s">
        <v>86</v>
      </c>
      <c r="M26" s="44">
        <v>0.62</v>
      </c>
      <c r="N26" s="59">
        <f t="shared" si="0"/>
        <v>0.77</v>
      </c>
      <c r="O26" s="101">
        <f t="shared" si="2"/>
        <v>123200</v>
      </c>
      <c r="Q26">
        <v>0.63</v>
      </c>
      <c r="R26">
        <f t="shared" si="3"/>
        <v>0.62</v>
      </c>
      <c r="S26" s="54"/>
    </row>
    <row r="27" spans="1:19" x14ac:dyDescent="0.25">
      <c r="A27" s="87"/>
      <c r="B27" s="24"/>
      <c r="C27" s="29"/>
      <c r="D27" s="300" t="s">
        <v>42</v>
      </c>
      <c r="E27" s="300"/>
      <c r="F27" s="300"/>
      <c r="G27" s="300"/>
      <c r="H27" s="300"/>
      <c r="I27" s="300"/>
      <c r="J27" s="300"/>
      <c r="K27" s="24"/>
      <c r="L27" s="32"/>
      <c r="M27" s="36"/>
      <c r="N27" s="60"/>
      <c r="O27" s="98">
        <f>SUM(O11:O26)</f>
        <v>5284033</v>
      </c>
      <c r="S27" s="54"/>
    </row>
    <row r="28" spans="1:19" x14ac:dyDescent="0.25">
      <c r="A28" s="83"/>
      <c r="B28" s="68"/>
      <c r="C28" s="68">
        <v>3</v>
      </c>
      <c r="D28" s="301" t="s">
        <v>87</v>
      </c>
      <c r="E28" s="301"/>
      <c r="F28" s="301"/>
      <c r="G28" s="301"/>
      <c r="H28" s="301"/>
      <c r="I28" s="301"/>
      <c r="J28" s="301"/>
      <c r="K28" s="69"/>
      <c r="L28" s="75"/>
      <c r="M28" s="79"/>
      <c r="N28" s="71"/>
      <c r="O28" s="84"/>
      <c r="S28" s="54"/>
    </row>
    <row r="29" spans="1:19" ht="30" x14ac:dyDescent="0.25">
      <c r="A29" s="99">
        <v>4915678</v>
      </c>
      <c r="B29" s="62" t="s">
        <v>68</v>
      </c>
      <c r="C29" s="61" t="s">
        <v>88</v>
      </c>
      <c r="D29" s="314" t="s">
        <v>89</v>
      </c>
      <c r="E29" s="315"/>
      <c r="F29" s="315"/>
      <c r="G29" s="315"/>
      <c r="H29" s="315"/>
      <c r="I29" s="315"/>
      <c r="J29" s="316"/>
      <c r="K29" s="43">
        <v>7100</v>
      </c>
      <c r="L29" s="48" t="s">
        <v>90</v>
      </c>
      <c r="M29" s="37">
        <v>262.92</v>
      </c>
      <c r="N29" s="59">
        <f t="shared" si="0"/>
        <v>326.52</v>
      </c>
      <c r="O29" s="101">
        <f>K29*N29</f>
        <v>2318292</v>
      </c>
      <c r="Q29">
        <v>265.58</v>
      </c>
      <c r="R29">
        <f t="shared" ref="R29:R30" si="4">TRUNC(Q29*0.99,2)</f>
        <v>262.92</v>
      </c>
      <c r="S29" s="54"/>
    </row>
    <row r="30" spans="1:19" x14ac:dyDescent="0.25">
      <c r="A30" s="99">
        <v>93590</v>
      </c>
      <c r="B30" s="62" t="s">
        <v>49</v>
      </c>
      <c r="C30" s="61" t="s">
        <v>91</v>
      </c>
      <c r="D30" s="302" t="s">
        <v>92</v>
      </c>
      <c r="E30" s="303"/>
      <c r="F30" s="303"/>
      <c r="G30" s="303"/>
      <c r="H30" s="303"/>
      <c r="I30" s="303"/>
      <c r="J30" s="304"/>
      <c r="K30" s="43">
        <v>70000</v>
      </c>
      <c r="L30" s="48" t="s">
        <v>93</v>
      </c>
      <c r="M30" s="44">
        <v>0.62</v>
      </c>
      <c r="N30" s="59">
        <f t="shared" si="0"/>
        <v>0.77</v>
      </c>
      <c r="O30" s="101">
        <f>K30*N30</f>
        <v>53900</v>
      </c>
      <c r="Q30">
        <v>0.63</v>
      </c>
      <c r="R30">
        <f t="shared" si="4"/>
        <v>0.62</v>
      </c>
      <c r="S30" s="54"/>
    </row>
    <row r="31" spans="1:19" x14ac:dyDescent="0.25">
      <c r="A31" s="87"/>
      <c r="B31" s="24"/>
      <c r="C31" s="29"/>
      <c r="D31" s="300" t="s">
        <v>42</v>
      </c>
      <c r="E31" s="300"/>
      <c r="F31" s="300"/>
      <c r="G31" s="300"/>
      <c r="H31" s="300"/>
      <c r="I31" s="300"/>
      <c r="J31" s="300"/>
      <c r="K31" s="24"/>
      <c r="L31" s="24"/>
      <c r="M31" s="49"/>
      <c r="N31" s="49"/>
      <c r="O31" s="98">
        <f>SUM(O29:O30)</f>
        <v>2372192</v>
      </c>
    </row>
    <row r="32" spans="1:19" x14ac:dyDescent="0.25">
      <c r="A32" s="85"/>
      <c r="B32" s="33"/>
      <c r="C32" s="23"/>
      <c r="D32" s="294"/>
      <c r="E32" s="295"/>
      <c r="F32" s="295"/>
      <c r="G32" s="295"/>
      <c r="H32" s="295"/>
      <c r="I32" s="295"/>
      <c r="J32" s="296"/>
      <c r="K32" s="25"/>
      <c r="L32" s="26"/>
      <c r="M32" s="47"/>
      <c r="N32" s="50"/>
      <c r="O32" s="90"/>
    </row>
    <row r="33" spans="1:16" x14ac:dyDescent="0.25">
      <c r="A33" s="85"/>
      <c r="B33" s="33"/>
      <c r="C33" s="23"/>
      <c r="D33" s="294"/>
      <c r="E33" s="295"/>
      <c r="F33" s="295"/>
      <c r="G33" s="295"/>
      <c r="H33" s="295"/>
      <c r="I33" s="295"/>
      <c r="J33" s="296"/>
      <c r="K33" s="25"/>
      <c r="L33" s="26"/>
      <c r="M33" s="47"/>
      <c r="N33" s="50"/>
      <c r="O33" s="90"/>
    </row>
    <row r="34" spans="1:16" x14ac:dyDescent="0.25">
      <c r="A34" s="85"/>
      <c r="B34" s="33"/>
      <c r="C34" s="23"/>
      <c r="D34" s="294"/>
      <c r="E34" s="295"/>
      <c r="F34" s="295"/>
      <c r="G34" s="295"/>
      <c r="H34" s="295"/>
      <c r="I34" s="295"/>
      <c r="J34" s="296"/>
      <c r="K34" s="25"/>
      <c r="L34" s="26"/>
      <c r="M34" s="47"/>
      <c r="N34" s="50"/>
      <c r="O34" s="90"/>
    </row>
    <row r="35" spans="1:16" x14ac:dyDescent="0.25">
      <c r="A35" s="85"/>
      <c r="B35" s="33"/>
      <c r="C35" s="23"/>
      <c r="D35" s="294"/>
      <c r="E35" s="295"/>
      <c r="F35" s="295"/>
      <c r="G35" s="295"/>
      <c r="H35" s="295"/>
      <c r="I35" s="295"/>
      <c r="J35" s="296"/>
      <c r="K35" s="25"/>
      <c r="L35" s="26"/>
      <c r="M35" s="47"/>
      <c r="N35" s="50"/>
      <c r="O35" s="90"/>
    </row>
    <row r="36" spans="1:16" ht="15.75" thickBot="1" x14ac:dyDescent="0.3">
      <c r="A36" s="91"/>
      <c r="B36" s="92"/>
      <c r="C36" s="92"/>
      <c r="D36" s="92"/>
      <c r="E36" s="92"/>
      <c r="F36" s="92"/>
      <c r="G36" s="92"/>
      <c r="H36" s="92"/>
      <c r="I36" s="92"/>
      <c r="J36" s="93" t="s">
        <v>94</v>
      </c>
      <c r="K36" s="95"/>
      <c r="L36" s="95"/>
      <c r="M36" s="96"/>
      <c r="N36" s="96"/>
      <c r="O36" s="97">
        <f>O31+O27+O9</f>
        <v>7663280.5</v>
      </c>
      <c r="P36" s="57">
        <f>1-(O36/'Plan. Prefeitura'!O36)</f>
        <v>0.22285005936161639</v>
      </c>
    </row>
    <row r="37" spans="1:16" x14ac:dyDescent="0.25">
      <c r="A37" s="35" t="s">
        <v>95</v>
      </c>
    </row>
    <row r="38" spans="1:16"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362204722" right="0.51181102362204722" top="0.78740157480314965" bottom="0.78740157480314965" header="0.31496062992125984" footer="0.31496062992125984"/>
  <pageSetup paperSize="9" scale="79" orientation="landscape" r:id="rId1"/>
  <colBreaks count="1" manualBreakCount="1">
    <brk id="15" max="37"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8"/>
  <sheetViews>
    <sheetView view="pageBreakPreview" topLeftCell="E1" zoomScaleSheetLayoutView="100" workbookViewId="0">
      <selection activeCell="E1" sqref="A1:XFD1048576"/>
    </sheetView>
  </sheetViews>
  <sheetFormatPr defaultRowHeight="15" x14ac:dyDescent="0.25"/>
  <cols>
    <col min="1" max="1" width="10.28515625" customWidth="1"/>
    <col min="10" max="10" width="30.5703125" customWidth="1"/>
    <col min="11" max="11" width="11.5703125" style="1" bestFit="1" customWidth="1"/>
    <col min="13" max="13" width="8" bestFit="1" customWidth="1"/>
    <col min="14" max="14" width="11" bestFit="1" customWidth="1"/>
    <col min="15" max="16" width="13.28515625" bestFit="1" customWidth="1"/>
    <col min="17" max="17" width="10.5703125" bestFit="1" customWidth="1"/>
    <col min="18" max="18" width="15.42578125" bestFit="1" customWidth="1"/>
  </cols>
  <sheetData>
    <row r="1" spans="1:20" x14ac:dyDescent="0.25">
      <c r="A1" s="305" t="s">
        <v>30</v>
      </c>
      <c r="B1" s="306"/>
      <c r="C1" s="306"/>
      <c r="D1" s="306"/>
      <c r="E1" s="306"/>
      <c r="F1" s="306"/>
      <c r="G1" s="306"/>
      <c r="H1" s="306"/>
      <c r="I1" s="306"/>
      <c r="J1" s="306"/>
      <c r="K1" s="309" t="s">
        <v>31</v>
      </c>
      <c r="L1" s="309"/>
      <c r="M1" s="309"/>
      <c r="N1" s="309"/>
      <c r="O1" s="310"/>
    </row>
    <row r="2" spans="1:20" x14ac:dyDescent="0.25">
      <c r="A2" s="307"/>
      <c r="B2" s="308"/>
      <c r="C2" s="308"/>
      <c r="D2" s="308"/>
      <c r="E2" s="308"/>
      <c r="F2" s="308"/>
      <c r="G2" s="308"/>
      <c r="H2" s="308"/>
      <c r="I2" s="308"/>
      <c r="J2" s="308"/>
      <c r="K2" s="311"/>
      <c r="L2" s="311"/>
      <c r="M2" s="311"/>
      <c r="N2" s="311"/>
      <c r="O2" s="312"/>
    </row>
    <row r="3" spans="1:20" x14ac:dyDescent="0.25">
      <c r="A3" s="307"/>
      <c r="B3" s="308"/>
      <c r="C3" s="308"/>
      <c r="D3" s="308"/>
      <c r="E3" s="308"/>
      <c r="F3" s="308"/>
      <c r="G3" s="308"/>
      <c r="H3" s="308"/>
      <c r="I3" s="308"/>
      <c r="J3" s="308"/>
      <c r="K3" s="311"/>
      <c r="L3" s="311"/>
      <c r="M3" s="311"/>
      <c r="N3" s="311"/>
      <c r="O3" s="312"/>
      <c r="Q3">
        <v>11.16</v>
      </c>
      <c r="R3" s="54">
        <f>Q3/N7</f>
        <v>1</v>
      </c>
    </row>
    <row r="4" spans="1:20" x14ac:dyDescent="0.25">
      <c r="A4" s="307"/>
      <c r="B4" s="308"/>
      <c r="C4" s="308"/>
      <c r="D4" s="308"/>
      <c r="E4" s="308"/>
      <c r="F4" s="308"/>
      <c r="G4" s="308"/>
      <c r="H4" s="308"/>
      <c r="I4" s="308"/>
      <c r="J4" s="308"/>
      <c r="K4" s="311"/>
      <c r="L4" s="311"/>
      <c r="M4" s="311"/>
      <c r="N4" s="311"/>
      <c r="O4" s="312"/>
    </row>
    <row r="5" spans="1:20" ht="45" x14ac:dyDescent="0.25">
      <c r="A5" s="81" t="s">
        <v>8</v>
      </c>
      <c r="B5" s="103"/>
      <c r="C5" s="103" t="s">
        <v>32</v>
      </c>
      <c r="D5" s="313" t="s">
        <v>33</v>
      </c>
      <c r="E5" s="313"/>
      <c r="F5" s="313"/>
      <c r="G5" s="313"/>
      <c r="H5" s="313"/>
      <c r="I5" s="313"/>
      <c r="J5" s="313"/>
      <c r="K5" s="46" t="s">
        <v>34</v>
      </c>
      <c r="L5" s="38" t="s">
        <v>35</v>
      </c>
      <c r="M5" s="103" t="s">
        <v>98</v>
      </c>
      <c r="N5" s="103" t="s">
        <v>97</v>
      </c>
      <c r="O5" s="82" t="s">
        <v>99</v>
      </c>
      <c r="Q5" s="54">
        <v>1.21</v>
      </c>
      <c r="R5">
        <v>1.2</v>
      </c>
    </row>
    <row r="6" spans="1:20" x14ac:dyDescent="0.25">
      <c r="A6" s="83"/>
      <c r="B6" s="104"/>
      <c r="C6" s="104">
        <v>1</v>
      </c>
      <c r="D6" s="301" t="s">
        <v>36</v>
      </c>
      <c r="E6" s="301"/>
      <c r="F6" s="301"/>
      <c r="G6" s="301"/>
      <c r="H6" s="301"/>
      <c r="I6" s="301"/>
      <c r="J6" s="301"/>
      <c r="K6" s="75"/>
      <c r="L6" s="69"/>
      <c r="M6" s="70"/>
      <c r="N6" s="70"/>
      <c r="O6" s="84"/>
      <c r="R6">
        <v>9.3000000000000007</v>
      </c>
      <c r="S6">
        <f>R6*$R$37</f>
        <v>9.3000000000000007</v>
      </c>
      <c r="T6">
        <f>TRUNC(S6,2)</f>
        <v>9.3000000000000007</v>
      </c>
    </row>
    <row r="7" spans="1:20" x14ac:dyDescent="0.25">
      <c r="A7" s="85">
        <v>90106</v>
      </c>
      <c r="B7" s="102"/>
      <c r="C7" s="23" t="s">
        <v>37</v>
      </c>
      <c r="D7" s="24" t="s">
        <v>38</v>
      </c>
      <c r="E7" s="102"/>
      <c r="F7" s="102"/>
      <c r="G7" s="102"/>
      <c r="H7" s="102"/>
      <c r="I7" s="102"/>
      <c r="J7" s="102"/>
      <c r="K7" s="65">
        <v>50</v>
      </c>
      <c r="L7" s="66" t="s">
        <v>39</v>
      </c>
      <c r="M7" s="39">
        <v>9.3000000000000007</v>
      </c>
      <c r="N7" s="56">
        <f>TRUNC(M7*$R$5,2)</f>
        <v>11.16</v>
      </c>
      <c r="O7" s="86">
        <f>K7*N7</f>
        <v>558</v>
      </c>
      <c r="Q7" s="54"/>
      <c r="R7" s="54">
        <v>138.63999999999999</v>
      </c>
      <c r="S7">
        <f t="shared" ref="S7:S29" si="0">R7*$R$37</f>
        <v>138.63999999999999</v>
      </c>
      <c r="T7">
        <f t="shared" ref="T7:T29" si="1">TRUNC(S7,2)</f>
        <v>138.63999999999999</v>
      </c>
    </row>
    <row r="8" spans="1:20" x14ac:dyDescent="0.25">
      <c r="A8" s="85">
        <v>6454</v>
      </c>
      <c r="B8" s="24"/>
      <c r="C8" s="23" t="s">
        <v>40</v>
      </c>
      <c r="D8" s="24" t="s">
        <v>41</v>
      </c>
      <c r="E8" s="24"/>
      <c r="F8" s="24"/>
      <c r="G8" s="24"/>
      <c r="H8" s="24"/>
      <c r="I8" s="24"/>
      <c r="J8" s="24"/>
      <c r="K8" s="65">
        <v>50</v>
      </c>
      <c r="L8" s="66" t="s">
        <v>39</v>
      </c>
      <c r="M8" s="39">
        <v>138.63999999999999</v>
      </c>
      <c r="N8" s="56">
        <v>164.56</v>
      </c>
      <c r="O8" s="86">
        <f>K8*N8</f>
        <v>8228</v>
      </c>
      <c r="S8">
        <f t="shared" si="0"/>
        <v>0</v>
      </c>
      <c r="T8">
        <f t="shared" si="1"/>
        <v>0</v>
      </c>
    </row>
    <row r="9" spans="1:20" x14ac:dyDescent="0.25">
      <c r="A9" s="87"/>
      <c r="B9" s="24"/>
      <c r="C9" s="29"/>
      <c r="D9" s="300" t="s">
        <v>42</v>
      </c>
      <c r="E9" s="300"/>
      <c r="F9" s="300"/>
      <c r="G9" s="300"/>
      <c r="H9" s="300"/>
      <c r="I9" s="300"/>
      <c r="J9" s="300"/>
      <c r="K9" s="32"/>
      <c r="L9" s="32"/>
      <c r="M9" s="40"/>
      <c r="N9" s="58"/>
      <c r="O9" s="88">
        <f>SUM(O7:O8)</f>
        <v>8786</v>
      </c>
      <c r="S9">
        <f t="shared" si="0"/>
        <v>0</v>
      </c>
      <c r="T9">
        <f t="shared" si="1"/>
        <v>0</v>
      </c>
    </row>
    <row r="10" spans="1:20" x14ac:dyDescent="0.25">
      <c r="A10" s="83"/>
      <c r="B10" s="104"/>
      <c r="C10" s="104">
        <v>2</v>
      </c>
      <c r="D10" s="301" t="s">
        <v>43</v>
      </c>
      <c r="E10" s="301"/>
      <c r="F10" s="301"/>
      <c r="G10" s="301"/>
      <c r="H10" s="301"/>
      <c r="I10" s="301"/>
      <c r="J10" s="301"/>
      <c r="K10" s="75"/>
      <c r="L10" s="75"/>
      <c r="M10" s="76"/>
      <c r="N10" s="77"/>
      <c r="O10" s="84"/>
      <c r="R10">
        <v>9.42</v>
      </c>
      <c r="S10">
        <f t="shared" si="0"/>
        <v>9.42</v>
      </c>
      <c r="T10">
        <f t="shared" si="1"/>
        <v>9.42</v>
      </c>
    </row>
    <row r="11" spans="1:20" x14ac:dyDescent="0.25">
      <c r="A11" s="85" t="s">
        <v>44</v>
      </c>
      <c r="B11" s="23" t="s">
        <v>45</v>
      </c>
      <c r="C11" s="23" t="s">
        <v>46</v>
      </c>
      <c r="D11" s="294" t="s">
        <v>47</v>
      </c>
      <c r="E11" s="295"/>
      <c r="F11" s="295"/>
      <c r="G11" s="295"/>
      <c r="H11" s="295"/>
      <c r="I11" s="295"/>
      <c r="J11" s="296"/>
      <c r="K11" s="65">
        <v>200</v>
      </c>
      <c r="L11" s="66" t="s">
        <v>48</v>
      </c>
      <c r="M11" s="39">
        <v>9.42</v>
      </c>
      <c r="N11" s="56">
        <v>11.17</v>
      </c>
      <c r="O11" s="86">
        <f>K11*N11</f>
        <v>2234</v>
      </c>
      <c r="R11">
        <v>17.7</v>
      </c>
      <c r="S11">
        <f t="shared" si="0"/>
        <v>17.7</v>
      </c>
      <c r="T11">
        <f t="shared" si="1"/>
        <v>17.7</v>
      </c>
    </row>
    <row r="12" spans="1:20" x14ac:dyDescent="0.25">
      <c r="A12" s="85">
        <v>85366</v>
      </c>
      <c r="B12" s="24" t="s">
        <v>49</v>
      </c>
      <c r="C12" s="23" t="s">
        <v>50</v>
      </c>
      <c r="D12" s="294" t="s">
        <v>51</v>
      </c>
      <c r="E12" s="295"/>
      <c r="F12" s="295"/>
      <c r="G12" s="295"/>
      <c r="H12" s="295"/>
      <c r="I12" s="295"/>
      <c r="J12" s="296"/>
      <c r="K12" s="65">
        <v>1000</v>
      </c>
      <c r="L12" s="66" t="s">
        <v>48</v>
      </c>
      <c r="M12" s="39">
        <v>17.7</v>
      </c>
      <c r="N12" s="56">
        <v>21.01</v>
      </c>
      <c r="O12" s="86">
        <f>K12*N12</f>
        <v>21010</v>
      </c>
      <c r="R12">
        <v>1.46</v>
      </c>
      <c r="S12">
        <f t="shared" si="0"/>
        <v>1.46</v>
      </c>
      <c r="T12">
        <f t="shared" si="1"/>
        <v>1.46</v>
      </c>
    </row>
    <row r="13" spans="1:20" x14ac:dyDescent="0.25">
      <c r="A13" s="85">
        <v>74010</v>
      </c>
      <c r="B13" s="24" t="s">
        <v>49</v>
      </c>
      <c r="C13" s="32" t="s">
        <v>52</v>
      </c>
      <c r="D13" s="294" t="s">
        <v>53</v>
      </c>
      <c r="E13" s="295"/>
      <c r="F13" s="295"/>
      <c r="G13" s="295"/>
      <c r="H13" s="295"/>
      <c r="I13" s="295"/>
      <c r="J13" s="296"/>
      <c r="K13" s="65">
        <v>6700</v>
      </c>
      <c r="L13" s="66" t="s">
        <v>39</v>
      </c>
      <c r="M13" s="39">
        <v>1.46</v>
      </c>
      <c r="N13" s="56">
        <v>1.72</v>
      </c>
      <c r="O13" s="86">
        <f>K13*N13</f>
        <v>11524</v>
      </c>
      <c r="R13">
        <v>1.32</v>
      </c>
      <c r="S13">
        <f t="shared" si="0"/>
        <v>1.32</v>
      </c>
      <c r="T13">
        <f t="shared" si="1"/>
        <v>1.32</v>
      </c>
    </row>
    <row r="14" spans="1:20" x14ac:dyDescent="0.25">
      <c r="A14" s="85">
        <v>83358</v>
      </c>
      <c r="B14" s="24" t="s">
        <v>49</v>
      </c>
      <c r="C14" s="23" t="s">
        <v>54</v>
      </c>
      <c r="D14" s="294" t="s">
        <v>55</v>
      </c>
      <c r="E14" s="295"/>
      <c r="F14" s="295"/>
      <c r="G14" s="295"/>
      <c r="H14" s="295"/>
      <c r="I14" s="295"/>
      <c r="J14" s="296"/>
      <c r="K14" s="65">
        <v>33500</v>
      </c>
      <c r="L14" s="66" t="s">
        <v>56</v>
      </c>
      <c r="M14" s="39">
        <v>1.32</v>
      </c>
      <c r="N14" s="56">
        <v>1.56</v>
      </c>
      <c r="O14" s="86">
        <f>K14*N14</f>
        <v>52260</v>
      </c>
      <c r="R14">
        <v>1.43</v>
      </c>
      <c r="S14">
        <f t="shared" si="0"/>
        <v>1.43</v>
      </c>
      <c r="T14">
        <f t="shared" si="1"/>
        <v>1.43</v>
      </c>
    </row>
    <row r="15" spans="1:20" x14ac:dyDescent="0.25">
      <c r="A15" s="85" t="s">
        <v>57</v>
      </c>
      <c r="B15" s="23" t="s">
        <v>45</v>
      </c>
      <c r="C15" s="23" t="s">
        <v>58</v>
      </c>
      <c r="D15" s="294" t="s">
        <v>59</v>
      </c>
      <c r="E15" s="295"/>
      <c r="F15" s="295"/>
      <c r="G15" s="295"/>
      <c r="H15" s="295"/>
      <c r="I15" s="295"/>
      <c r="J15" s="296"/>
      <c r="K15" s="65">
        <v>250</v>
      </c>
      <c r="L15" s="66" t="s">
        <v>60</v>
      </c>
      <c r="M15" s="39">
        <v>1.43</v>
      </c>
      <c r="N15" s="56">
        <v>1.7</v>
      </c>
      <c r="O15" s="86">
        <f>K15*N15</f>
        <v>425</v>
      </c>
      <c r="S15">
        <f t="shared" si="0"/>
        <v>0</v>
      </c>
      <c r="T15">
        <f t="shared" si="1"/>
        <v>0</v>
      </c>
    </row>
    <row r="16" spans="1:20" x14ac:dyDescent="0.25">
      <c r="A16" s="85">
        <v>2020</v>
      </c>
      <c r="B16" s="23" t="s">
        <v>45</v>
      </c>
      <c r="C16" s="23" t="s">
        <v>61</v>
      </c>
      <c r="D16" s="294" t="s">
        <v>62</v>
      </c>
      <c r="E16" s="295"/>
      <c r="F16" s="295"/>
      <c r="G16" s="295"/>
      <c r="H16" s="295"/>
      <c r="I16" s="295"/>
      <c r="J16" s="296"/>
      <c r="K16" s="65"/>
      <c r="L16" s="66"/>
      <c r="M16" s="39">
        <v>0</v>
      </c>
      <c r="N16" s="56"/>
      <c r="O16" s="86"/>
      <c r="R16">
        <v>6.97</v>
      </c>
      <c r="S16">
        <f t="shared" si="0"/>
        <v>6.97</v>
      </c>
      <c r="T16">
        <f t="shared" si="1"/>
        <v>6.97</v>
      </c>
    </row>
    <row r="17" spans="1:20" x14ac:dyDescent="0.25">
      <c r="A17" s="85" t="s">
        <v>6</v>
      </c>
      <c r="B17" s="23" t="s">
        <v>45</v>
      </c>
      <c r="C17" s="23" t="s">
        <v>63</v>
      </c>
      <c r="D17" s="294" t="s">
        <v>64</v>
      </c>
      <c r="E17" s="295"/>
      <c r="F17" s="295"/>
      <c r="G17" s="295"/>
      <c r="H17" s="295"/>
      <c r="I17" s="295"/>
      <c r="J17" s="296"/>
      <c r="K17" s="65">
        <v>25000</v>
      </c>
      <c r="L17" s="66" t="s">
        <v>65</v>
      </c>
      <c r="M17" s="39">
        <v>6.97</v>
      </c>
      <c r="N17" s="56">
        <v>8.27</v>
      </c>
      <c r="O17" s="86">
        <f t="shared" ref="O17:O26" si="2">K17*N17</f>
        <v>206750</v>
      </c>
      <c r="R17">
        <v>8.5299999999999994</v>
      </c>
      <c r="S17">
        <f t="shared" si="0"/>
        <v>8.5299999999999994</v>
      </c>
      <c r="T17">
        <f t="shared" si="1"/>
        <v>8.5299999999999994</v>
      </c>
    </row>
    <row r="18" spans="1:20" x14ac:dyDescent="0.25">
      <c r="A18" s="85" t="s">
        <v>7</v>
      </c>
      <c r="B18" s="23" t="s">
        <v>45</v>
      </c>
      <c r="C18" s="23" t="s">
        <v>66</v>
      </c>
      <c r="D18" s="294" t="s">
        <v>67</v>
      </c>
      <c r="E18" s="295"/>
      <c r="F18" s="295"/>
      <c r="G18" s="295"/>
      <c r="H18" s="295"/>
      <c r="I18" s="295"/>
      <c r="J18" s="296"/>
      <c r="K18" s="65">
        <v>84000</v>
      </c>
      <c r="L18" s="66" t="s">
        <v>65</v>
      </c>
      <c r="M18" s="39">
        <v>8.5299999999999994</v>
      </c>
      <c r="N18" s="56">
        <v>10.119999999999999</v>
      </c>
      <c r="O18" s="86">
        <f t="shared" si="2"/>
        <v>850079.99999999988</v>
      </c>
      <c r="R18">
        <v>80.010000000000005</v>
      </c>
      <c r="S18">
        <f t="shared" si="0"/>
        <v>80.010000000000005</v>
      </c>
      <c r="T18">
        <f t="shared" si="1"/>
        <v>80.010000000000005</v>
      </c>
    </row>
    <row r="19" spans="1:20" ht="30" x14ac:dyDescent="0.25">
      <c r="A19" s="99">
        <v>4011486</v>
      </c>
      <c r="B19" s="61" t="s">
        <v>68</v>
      </c>
      <c r="C19" s="61" t="s">
        <v>69</v>
      </c>
      <c r="D19" s="302" t="s">
        <v>70</v>
      </c>
      <c r="E19" s="303"/>
      <c r="F19" s="303"/>
      <c r="G19" s="303"/>
      <c r="H19" s="303"/>
      <c r="I19" s="303"/>
      <c r="J19" s="304"/>
      <c r="K19" s="47">
        <v>200</v>
      </c>
      <c r="L19" s="48" t="s">
        <v>71</v>
      </c>
      <c r="M19" s="39">
        <v>80.010000000000005</v>
      </c>
      <c r="N19" s="56">
        <v>93.6</v>
      </c>
      <c r="O19" s="89">
        <f t="shared" si="2"/>
        <v>18720</v>
      </c>
      <c r="R19">
        <v>1.1200000000000001</v>
      </c>
      <c r="S19">
        <f t="shared" si="0"/>
        <v>1.1200000000000001</v>
      </c>
      <c r="T19">
        <f t="shared" si="1"/>
        <v>1.1200000000000001</v>
      </c>
    </row>
    <row r="20" spans="1:20" x14ac:dyDescent="0.25">
      <c r="A20" s="85">
        <v>72961</v>
      </c>
      <c r="B20" s="24" t="s">
        <v>49</v>
      </c>
      <c r="C20" s="23" t="s">
        <v>72</v>
      </c>
      <c r="D20" s="294" t="s">
        <v>73</v>
      </c>
      <c r="E20" s="295"/>
      <c r="F20" s="295"/>
      <c r="G20" s="295"/>
      <c r="H20" s="295"/>
      <c r="I20" s="295"/>
      <c r="J20" s="296"/>
      <c r="K20" s="65">
        <v>1000</v>
      </c>
      <c r="L20" s="66" t="s">
        <v>65</v>
      </c>
      <c r="M20" s="39">
        <v>1.1200000000000001</v>
      </c>
      <c r="N20" s="56">
        <v>1.27</v>
      </c>
      <c r="O20" s="86">
        <f t="shared" si="2"/>
        <v>1270</v>
      </c>
      <c r="R20">
        <v>86.82</v>
      </c>
      <c r="S20">
        <f t="shared" si="0"/>
        <v>86.82</v>
      </c>
      <c r="T20">
        <f t="shared" si="1"/>
        <v>86.82</v>
      </c>
    </row>
    <row r="21" spans="1:20" x14ac:dyDescent="0.25">
      <c r="A21" s="85">
        <v>73710</v>
      </c>
      <c r="B21" s="33" t="s">
        <v>49</v>
      </c>
      <c r="C21" s="23">
        <v>2.7</v>
      </c>
      <c r="D21" s="294" t="s">
        <v>74</v>
      </c>
      <c r="E21" s="295"/>
      <c r="F21" s="295"/>
      <c r="G21" s="295"/>
      <c r="H21" s="295"/>
      <c r="I21" s="295"/>
      <c r="J21" s="296"/>
      <c r="K21" s="65">
        <v>200</v>
      </c>
      <c r="L21" s="66" t="s">
        <v>71</v>
      </c>
      <c r="M21" s="39">
        <v>86.82</v>
      </c>
      <c r="N21" s="56">
        <v>103.1</v>
      </c>
      <c r="O21" s="86">
        <f t="shared" si="2"/>
        <v>20620</v>
      </c>
      <c r="R21">
        <v>0.91</v>
      </c>
      <c r="S21">
        <f t="shared" si="0"/>
        <v>0.91</v>
      </c>
      <c r="T21">
        <f t="shared" si="1"/>
        <v>0.91</v>
      </c>
    </row>
    <row r="22" spans="1:20" x14ac:dyDescent="0.25">
      <c r="A22" s="85">
        <v>95875</v>
      </c>
      <c r="B22" s="33" t="s">
        <v>49</v>
      </c>
      <c r="C22" s="23" t="s">
        <v>75</v>
      </c>
      <c r="D22" s="294" t="s">
        <v>76</v>
      </c>
      <c r="E22" s="295"/>
      <c r="F22" s="295"/>
      <c r="G22" s="295"/>
      <c r="H22" s="295"/>
      <c r="I22" s="295"/>
      <c r="J22" s="296"/>
      <c r="K22" s="65">
        <v>2000</v>
      </c>
      <c r="L22" s="66" t="s">
        <v>56</v>
      </c>
      <c r="M22" s="39">
        <v>0.91</v>
      </c>
      <c r="N22" s="56">
        <v>1.1399999999999999</v>
      </c>
      <c r="O22" s="86">
        <f t="shared" si="2"/>
        <v>2280</v>
      </c>
      <c r="R22">
        <v>4.1900000000000004</v>
      </c>
      <c r="S22">
        <f t="shared" si="0"/>
        <v>4.1900000000000004</v>
      </c>
      <c r="T22">
        <f t="shared" si="1"/>
        <v>4.1900000000000004</v>
      </c>
    </row>
    <row r="23" spans="1:20" x14ac:dyDescent="0.25">
      <c r="A23" s="85">
        <v>72945</v>
      </c>
      <c r="B23" s="33" t="s">
        <v>49</v>
      </c>
      <c r="C23" s="23" t="s">
        <v>77</v>
      </c>
      <c r="D23" s="294" t="s">
        <v>78</v>
      </c>
      <c r="E23" s="295"/>
      <c r="F23" s="295"/>
      <c r="G23" s="295"/>
      <c r="H23" s="295"/>
      <c r="I23" s="295"/>
      <c r="J23" s="296"/>
      <c r="K23" s="65">
        <v>1000</v>
      </c>
      <c r="L23" s="66" t="s">
        <v>65</v>
      </c>
      <c r="M23" s="39">
        <v>4.1900000000000004</v>
      </c>
      <c r="N23" s="56">
        <v>4.9800000000000004</v>
      </c>
      <c r="O23" s="86">
        <f t="shared" si="2"/>
        <v>4980</v>
      </c>
      <c r="R23">
        <v>1.1599999999999999</v>
      </c>
      <c r="S23">
        <f t="shared" si="0"/>
        <v>1.1599999999999999</v>
      </c>
      <c r="T23">
        <f t="shared" si="1"/>
        <v>1.1599999999999999</v>
      </c>
    </row>
    <row r="24" spans="1:20" x14ac:dyDescent="0.25">
      <c r="A24" s="85">
        <v>72942</v>
      </c>
      <c r="B24" s="33" t="s">
        <v>49</v>
      </c>
      <c r="C24" s="23" t="s">
        <v>79</v>
      </c>
      <c r="D24" s="294" t="s">
        <v>80</v>
      </c>
      <c r="E24" s="295"/>
      <c r="F24" s="295"/>
      <c r="G24" s="295"/>
      <c r="H24" s="295"/>
      <c r="I24" s="295"/>
      <c r="J24" s="296"/>
      <c r="K24" s="65">
        <v>109000</v>
      </c>
      <c r="L24" s="66" t="s">
        <v>65</v>
      </c>
      <c r="M24" s="39">
        <v>1.1599999999999999</v>
      </c>
      <c r="N24" s="56">
        <v>1.37</v>
      </c>
      <c r="O24" s="86">
        <f t="shared" si="2"/>
        <v>149330</v>
      </c>
      <c r="R24">
        <v>288.41000000000003</v>
      </c>
      <c r="S24">
        <f t="shared" si="0"/>
        <v>288.41000000000003</v>
      </c>
      <c r="T24">
        <f t="shared" si="1"/>
        <v>288.41000000000003</v>
      </c>
    </row>
    <row r="25" spans="1:20" x14ac:dyDescent="0.25">
      <c r="A25" s="85" t="s">
        <v>5</v>
      </c>
      <c r="B25" s="33" t="s">
        <v>45</v>
      </c>
      <c r="C25" s="23" t="s">
        <v>81</v>
      </c>
      <c r="D25" s="297" t="s">
        <v>82</v>
      </c>
      <c r="E25" s="298"/>
      <c r="F25" s="298"/>
      <c r="G25" s="298"/>
      <c r="H25" s="298"/>
      <c r="I25" s="298"/>
      <c r="J25" s="299"/>
      <c r="K25" s="65">
        <v>16000</v>
      </c>
      <c r="L25" s="66" t="s">
        <v>83</v>
      </c>
      <c r="M25" s="41">
        <v>288.41000000000003</v>
      </c>
      <c r="N25" s="56">
        <v>341.16</v>
      </c>
      <c r="O25" s="86">
        <f t="shared" si="2"/>
        <v>5458560</v>
      </c>
      <c r="R25">
        <v>0.65</v>
      </c>
      <c r="S25">
        <f t="shared" si="0"/>
        <v>0.65</v>
      </c>
      <c r="T25">
        <f t="shared" si="1"/>
        <v>0.65</v>
      </c>
    </row>
    <row r="26" spans="1:20" x14ac:dyDescent="0.25">
      <c r="A26" s="85">
        <v>95590</v>
      </c>
      <c r="B26" s="33" t="s">
        <v>49</v>
      </c>
      <c r="C26" s="23" t="s">
        <v>84</v>
      </c>
      <c r="D26" s="294" t="s">
        <v>85</v>
      </c>
      <c r="E26" s="295"/>
      <c r="F26" s="295"/>
      <c r="G26" s="295"/>
      <c r="H26" s="295"/>
      <c r="I26" s="295"/>
      <c r="J26" s="296"/>
      <c r="K26" s="65">
        <v>160000</v>
      </c>
      <c r="L26" s="66" t="s">
        <v>86</v>
      </c>
      <c r="M26" s="39">
        <v>0.65</v>
      </c>
      <c r="N26" s="56">
        <v>0.77</v>
      </c>
      <c r="O26" s="86">
        <f t="shared" si="2"/>
        <v>123200</v>
      </c>
      <c r="S26">
        <f t="shared" si="0"/>
        <v>0</v>
      </c>
      <c r="T26">
        <f t="shared" si="1"/>
        <v>0</v>
      </c>
    </row>
    <row r="27" spans="1:20" x14ac:dyDescent="0.25">
      <c r="A27" s="87"/>
      <c r="B27" s="24"/>
      <c r="C27" s="29"/>
      <c r="D27" s="300" t="s">
        <v>42</v>
      </c>
      <c r="E27" s="300"/>
      <c r="F27" s="300"/>
      <c r="G27" s="300"/>
      <c r="H27" s="300"/>
      <c r="I27" s="300"/>
      <c r="J27" s="300"/>
      <c r="K27" s="32"/>
      <c r="L27" s="32"/>
      <c r="M27" s="40"/>
      <c r="N27" s="58"/>
      <c r="O27" s="88">
        <f>SUM(O11:O26)</f>
        <v>6923243</v>
      </c>
      <c r="P27" s="54">
        <f>'CPU-01'!O27</f>
        <v>6923243</v>
      </c>
      <c r="Q27" s="54">
        <f>P27-O27</f>
        <v>0</v>
      </c>
      <c r="S27">
        <f t="shared" si="0"/>
        <v>0</v>
      </c>
      <c r="T27">
        <f t="shared" si="1"/>
        <v>0</v>
      </c>
    </row>
    <row r="28" spans="1:20" x14ac:dyDescent="0.25">
      <c r="A28" s="83"/>
      <c r="B28" s="104"/>
      <c r="C28" s="104">
        <v>3</v>
      </c>
      <c r="D28" s="301" t="s">
        <v>87</v>
      </c>
      <c r="E28" s="301"/>
      <c r="F28" s="301"/>
      <c r="G28" s="301"/>
      <c r="H28" s="301"/>
      <c r="I28" s="301"/>
      <c r="J28" s="301"/>
      <c r="K28" s="75"/>
      <c r="L28" s="75"/>
      <c r="M28" s="76"/>
      <c r="N28" s="78"/>
      <c r="O28" s="84"/>
      <c r="R28">
        <v>286.45</v>
      </c>
      <c r="S28">
        <f t="shared" si="0"/>
        <v>286.45</v>
      </c>
      <c r="T28">
        <f t="shared" si="1"/>
        <v>286.45</v>
      </c>
    </row>
    <row r="29" spans="1:20" ht="30" x14ac:dyDescent="0.25">
      <c r="A29" s="85">
        <v>4915678</v>
      </c>
      <c r="B29" s="33" t="s">
        <v>68</v>
      </c>
      <c r="C29" s="23" t="s">
        <v>88</v>
      </c>
      <c r="D29" s="297" t="s">
        <v>89</v>
      </c>
      <c r="E29" s="298"/>
      <c r="F29" s="298"/>
      <c r="G29" s="298"/>
      <c r="H29" s="298"/>
      <c r="I29" s="298"/>
      <c r="J29" s="299"/>
      <c r="K29" s="47">
        <v>7100</v>
      </c>
      <c r="L29" s="48" t="s">
        <v>90</v>
      </c>
      <c r="M29" s="41">
        <v>286.45</v>
      </c>
      <c r="N29" s="55">
        <v>340.01</v>
      </c>
      <c r="O29" s="89">
        <f>K29*N29</f>
        <v>2414071</v>
      </c>
      <c r="R29">
        <v>0.65</v>
      </c>
      <c r="S29">
        <f t="shared" si="0"/>
        <v>0.65</v>
      </c>
      <c r="T29">
        <f t="shared" si="1"/>
        <v>0.65</v>
      </c>
    </row>
    <row r="30" spans="1:20" x14ac:dyDescent="0.25">
      <c r="A30" s="85">
        <v>93590</v>
      </c>
      <c r="B30" s="33" t="s">
        <v>49</v>
      </c>
      <c r="C30" s="23" t="s">
        <v>91</v>
      </c>
      <c r="D30" s="294" t="s">
        <v>92</v>
      </c>
      <c r="E30" s="295"/>
      <c r="F30" s="295"/>
      <c r="G30" s="295"/>
      <c r="H30" s="295"/>
      <c r="I30" s="295"/>
      <c r="J30" s="296"/>
      <c r="K30" s="47">
        <v>70000</v>
      </c>
      <c r="L30" s="48" t="s">
        <v>93</v>
      </c>
      <c r="M30" s="39">
        <v>0.65</v>
      </c>
      <c r="N30" s="55">
        <v>0.77</v>
      </c>
      <c r="O30" s="86">
        <f>K30*N30</f>
        <v>53900</v>
      </c>
      <c r="S30" s="54"/>
    </row>
    <row r="31" spans="1:20" x14ac:dyDescent="0.25">
      <c r="A31" s="87"/>
      <c r="B31" s="24"/>
      <c r="C31" s="29"/>
      <c r="D31" s="300" t="s">
        <v>42</v>
      </c>
      <c r="E31" s="300"/>
      <c r="F31" s="300"/>
      <c r="G31" s="300"/>
      <c r="H31" s="300"/>
      <c r="I31" s="300"/>
      <c r="J31" s="300"/>
      <c r="K31" s="32"/>
      <c r="L31" s="24"/>
      <c r="M31" s="49"/>
      <c r="N31" s="49"/>
      <c r="O31" s="88">
        <f>SUM(O29:O30)</f>
        <v>2467971</v>
      </c>
    </row>
    <row r="32" spans="1:20" x14ac:dyDescent="0.25">
      <c r="A32" s="85"/>
      <c r="B32" s="33"/>
      <c r="C32" s="23"/>
      <c r="D32" s="294"/>
      <c r="E32" s="295"/>
      <c r="F32" s="295"/>
      <c r="G32" s="295"/>
      <c r="H32" s="295"/>
      <c r="I32" s="295"/>
      <c r="J32" s="296"/>
      <c r="K32" s="65"/>
      <c r="L32" s="26"/>
      <c r="M32" s="47"/>
      <c r="N32" s="50"/>
      <c r="O32" s="90"/>
    </row>
    <row r="33" spans="1:18" x14ac:dyDescent="0.25">
      <c r="A33" s="85"/>
      <c r="B33" s="33"/>
      <c r="C33" s="23"/>
      <c r="D33" s="294"/>
      <c r="E33" s="295"/>
      <c r="F33" s="295"/>
      <c r="G33" s="295"/>
      <c r="H33" s="295"/>
      <c r="I33" s="295"/>
      <c r="J33" s="296"/>
      <c r="K33" s="65"/>
      <c r="L33" s="26"/>
      <c r="M33" s="47"/>
      <c r="N33" s="50"/>
      <c r="O33" s="90"/>
    </row>
    <row r="34" spans="1:18" x14ac:dyDescent="0.25">
      <c r="A34" s="85"/>
      <c r="B34" s="33"/>
      <c r="C34" s="23"/>
      <c r="D34" s="294"/>
      <c r="E34" s="295"/>
      <c r="F34" s="295"/>
      <c r="G34" s="295"/>
      <c r="H34" s="295"/>
      <c r="I34" s="295"/>
      <c r="J34" s="296"/>
      <c r="K34" s="65"/>
      <c r="L34" s="26"/>
      <c r="M34" s="47"/>
      <c r="N34" s="50"/>
      <c r="O34" s="90"/>
    </row>
    <row r="35" spans="1:18" x14ac:dyDescent="0.25">
      <c r="A35" s="85"/>
      <c r="B35" s="33"/>
      <c r="C35" s="23"/>
      <c r="D35" s="294"/>
      <c r="E35" s="295"/>
      <c r="F35" s="295"/>
      <c r="G35" s="295"/>
      <c r="H35" s="295"/>
      <c r="I35" s="295"/>
      <c r="J35" s="296"/>
      <c r="K35" s="65"/>
      <c r="L35" s="26"/>
      <c r="M35" s="47"/>
      <c r="N35" s="50"/>
      <c r="O35" s="90"/>
    </row>
    <row r="36" spans="1:18" ht="15.75" thickBot="1" x14ac:dyDescent="0.3">
      <c r="A36" s="91"/>
      <c r="B36" s="92"/>
      <c r="C36" s="92"/>
      <c r="D36" s="92"/>
      <c r="E36" s="92"/>
      <c r="F36" s="92"/>
      <c r="G36" s="92"/>
      <c r="H36" s="92"/>
      <c r="I36" s="92"/>
      <c r="J36" s="93" t="s">
        <v>94</v>
      </c>
      <c r="K36" s="94"/>
      <c r="L36" s="95"/>
      <c r="M36" s="96"/>
      <c r="N36" s="96"/>
      <c r="O36" s="97">
        <f>O31+O27+O9</f>
        <v>9400000</v>
      </c>
      <c r="P36" s="57">
        <f>1-(O36/'Plan. Prefeitura'!O36)</f>
        <v>4.6725558068661965E-2</v>
      </c>
      <c r="R36" s="105">
        <f>9400000</f>
        <v>9400000</v>
      </c>
    </row>
    <row r="37" spans="1:18" x14ac:dyDescent="0.25">
      <c r="A37" s="35" t="s">
        <v>95</v>
      </c>
      <c r="R37">
        <f>R36/O36</f>
        <v>1</v>
      </c>
    </row>
    <row r="38" spans="1:18"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362204722" right="0.51181102362204722" top="0.78740157480314965" bottom="0.78740157480314965" header="0.31496062992125984" footer="0.31496062992125984"/>
  <pageSetup paperSize="9" scale="8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tabSelected="1" zoomScaleNormal="100" zoomScaleSheetLayoutView="80" workbookViewId="0">
      <selection activeCell="K11" sqref="K11"/>
    </sheetView>
  </sheetViews>
  <sheetFormatPr defaultRowHeight="15" x14ac:dyDescent="0.25"/>
  <cols>
    <col min="2" max="2" width="13.85546875" bestFit="1" customWidth="1"/>
    <col min="3" max="3" width="10.28515625" customWidth="1"/>
    <col min="10" max="10" width="27.42578125" customWidth="1"/>
    <col min="11" max="11" width="11.5703125" style="1" bestFit="1" customWidth="1"/>
    <col min="13" max="13" width="11.5703125" customWidth="1"/>
    <col min="14" max="14" width="13.42578125" customWidth="1"/>
    <col min="15" max="16" width="20.7109375" customWidth="1"/>
    <col min="17" max="17" width="13" style="243" customWidth="1"/>
    <col min="18" max="18" width="13.28515625" style="243" bestFit="1" customWidth="1"/>
    <col min="19" max="19" width="9.140625" style="244"/>
    <col min="20" max="20" width="9.140625" style="243"/>
  </cols>
  <sheetData>
    <row r="1" spans="1:20" ht="15" customHeight="1" x14ac:dyDescent="0.25">
      <c r="A1" s="320"/>
      <c r="B1" s="321"/>
      <c r="C1" s="321"/>
      <c r="D1" s="321"/>
      <c r="E1" s="321"/>
      <c r="F1" s="321"/>
      <c r="G1" s="321"/>
      <c r="H1" s="321"/>
      <c r="I1" s="321"/>
      <c r="J1" s="321"/>
      <c r="K1" s="321"/>
      <c r="L1" s="321"/>
      <c r="M1" s="321"/>
      <c r="N1" s="321"/>
      <c r="O1" s="321"/>
      <c r="P1" s="322"/>
    </row>
    <row r="2" spans="1:20" x14ac:dyDescent="0.25">
      <c r="A2" s="323"/>
      <c r="B2" s="324"/>
      <c r="C2" s="324"/>
      <c r="D2" s="324"/>
      <c r="E2" s="324"/>
      <c r="F2" s="324"/>
      <c r="G2" s="324"/>
      <c r="H2" s="324"/>
      <c r="I2" s="324"/>
      <c r="J2" s="324"/>
      <c r="K2" s="324"/>
      <c r="L2" s="324"/>
      <c r="M2" s="324"/>
      <c r="N2" s="324"/>
      <c r="O2" s="324"/>
      <c r="P2" s="325"/>
    </row>
    <row r="3" spans="1:20" x14ac:dyDescent="0.25">
      <c r="A3" s="323"/>
      <c r="B3" s="324"/>
      <c r="C3" s="324"/>
      <c r="D3" s="324"/>
      <c r="E3" s="324"/>
      <c r="F3" s="324"/>
      <c r="G3" s="324"/>
      <c r="H3" s="324"/>
      <c r="I3" s="324"/>
      <c r="J3" s="324"/>
      <c r="K3" s="324"/>
      <c r="L3" s="324"/>
      <c r="M3" s="324"/>
      <c r="N3" s="324"/>
      <c r="O3" s="324"/>
      <c r="P3" s="325"/>
    </row>
    <row r="4" spans="1:20" ht="99" customHeight="1" x14ac:dyDescent="0.25">
      <c r="A4" s="326"/>
      <c r="B4" s="327"/>
      <c r="C4" s="327"/>
      <c r="D4" s="327"/>
      <c r="E4" s="327"/>
      <c r="F4" s="327"/>
      <c r="G4" s="327"/>
      <c r="H4" s="327"/>
      <c r="I4" s="327"/>
      <c r="J4" s="327"/>
      <c r="K4" s="327"/>
      <c r="L4" s="327"/>
      <c r="M4" s="327"/>
      <c r="N4" s="327"/>
      <c r="O4" s="327"/>
      <c r="P4" s="328"/>
    </row>
    <row r="5" spans="1:20" ht="22.5" customHeight="1" x14ac:dyDescent="0.3">
      <c r="A5" s="329" t="s">
        <v>213</v>
      </c>
      <c r="B5" s="330"/>
      <c r="C5" s="330"/>
      <c r="D5" s="330"/>
      <c r="E5" s="330"/>
      <c r="F5" s="330"/>
      <c r="G5" s="330"/>
      <c r="H5" s="330"/>
      <c r="I5" s="330"/>
      <c r="J5" s="330"/>
      <c r="K5" s="330"/>
      <c r="L5" s="330"/>
      <c r="M5" s="330"/>
      <c r="N5" s="330"/>
      <c r="O5" s="331"/>
      <c r="P5" s="332"/>
      <c r="Q5"/>
      <c r="R5" s="54"/>
      <c r="S5"/>
      <c r="T5"/>
    </row>
    <row r="6" spans="1:20" ht="21.75" customHeight="1" x14ac:dyDescent="0.3">
      <c r="A6" s="333" t="s">
        <v>216</v>
      </c>
      <c r="B6" s="334"/>
      <c r="C6" s="334"/>
      <c r="D6" s="334"/>
      <c r="E6" s="334"/>
      <c r="F6" s="334"/>
      <c r="G6" s="334"/>
      <c r="H6" s="334"/>
      <c r="I6" s="334"/>
      <c r="J6" s="334"/>
      <c r="K6" s="334"/>
      <c r="L6" s="334"/>
      <c r="M6" s="334"/>
      <c r="N6" s="334"/>
      <c r="O6" s="335"/>
      <c r="P6" s="336"/>
      <c r="Q6"/>
      <c r="R6" s="54"/>
      <c r="S6"/>
      <c r="T6"/>
    </row>
    <row r="7" spans="1:20" ht="21.75" customHeight="1" x14ac:dyDescent="0.3">
      <c r="A7" s="333" t="s">
        <v>192</v>
      </c>
      <c r="B7" s="334"/>
      <c r="C7" s="334"/>
      <c r="D7" s="334"/>
      <c r="E7" s="334"/>
      <c r="F7" s="334"/>
      <c r="G7" s="334"/>
      <c r="H7" s="334"/>
      <c r="I7" s="334"/>
      <c r="J7" s="334"/>
      <c r="K7" s="334"/>
      <c r="L7" s="334"/>
      <c r="M7" s="334"/>
      <c r="N7" s="337" t="s">
        <v>214</v>
      </c>
      <c r="O7" s="338"/>
      <c r="P7" s="339"/>
      <c r="Q7"/>
      <c r="R7"/>
      <c r="S7"/>
      <c r="T7"/>
    </row>
    <row r="8" spans="1:20" ht="45" x14ac:dyDescent="0.25">
      <c r="A8" s="248" t="s">
        <v>32</v>
      </c>
      <c r="B8" s="252" t="s">
        <v>190</v>
      </c>
      <c r="C8" s="252" t="s">
        <v>189</v>
      </c>
      <c r="D8" s="349" t="s">
        <v>33</v>
      </c>
      <c r="E8" s="349"/>
      <c r="F8" s="349"/>
      <c r="G8" s="349"/>
      <c r="H8" s="349"/>
      <c r="I8" s="349"/>
      <c r="J8" s="349"/>
      <c r="K8" s="70" t="s">
        <v>34</v>
      </c>
      <c r="L8" s="70" t="s">
        <v>206</v>
      </c>
      <c r="M8" s="252" t="s">
        <v>196</v>
      </c>
      <c r="N8" s="252" t="s">
        <v>197</v>
      </c>
      <c r="O8" s="249" t="s">
        <v>198</v>
      </c>
      <c r="P8" s="250" t="s">
        <v>199</v>
      </c>
    </row>
    <row r="9" spans="1:20" ht="24.95" customHeight="1" x14ac:dyDescent="0.25">
      <c r="A9" s="83" t="s">
        <v>202</v>
      </c>
      <c r="B9" s="245"/>
      <c r="C9" s="251"/>
      <c r="D9" s="346" t="s">
        <v>207</v>
      </c>
      <c r="E9" s="347"/>
      <c r="F9" s="347"/>
      <c r="G9" s="347"/>
      <c r="H9" s="347"/>
      <c r="I9" s="347"/>
      <c r="J9" s="348"/>
      <c r="K9" s="75"/>
      <c r="L9" s="75"/>
      <c r="M9" s="75"/>
      <c r="N9" s="75"/>
      <c r="O9" s="267">
        <f>SUM(O10:O12)</f>
        <v>5247495</v>
      </c>
      <c r="P9" s="266">
        <f>SUM(P10:P12)</f>
        <v>6518787</v>
      </c>
    </row>
    <row r="10" spans="1:20" ht="51.95" customHeight="1" x14ac:dyDescent="0.25">
      <c r="A10" s="261" t="s">
        <v>191</v>
      </c>
      <c r="B10" s="262" t="s">
        <v>215</v>
      </c>
      <c r="C10" s="269">
        <v>101810</v>
      </c>
      <c r="D10" s="340" t="s">
        <v>208</v>
      </c>
      <c r="E10" s="341"/>
      <c r="F10" s="341"/>
      <c r="G10" s="341"/>
      <c r="H10" s="341"/>
      <c r="I10" s="341"/>
      <c r="J10" s="342"/>
      <c r="K10" s="263">
        <v>3300</v>
      </c>
      <c r="L10" s="264" t="s">
        <v>39</v>
      </c>
      <c r="M10" s="275">
        <v>1509.59</v>
      </c>
      <c r="N10" s="276">
        <f>ROUND(M10*1.2423,2)</f>
        <v>1875.36</v>
      </c>
      <c r="O10" s="247">
        <f>ROUND(K10*M10,2)</f>
        <v>4981647</v>
      </c>
      <c r="P10" s="246">
        <f>ROUND(K10*N10,2)</f>
        <v>6188688</v>
      </c>
    </row>
    <row r="11" spans="1:20" ht="51.95" customHeight="1" x14ac:dyDescent="0.25">
      <c r="A11" s="261" t="s">
        <v>40</v>
      </c>
      <c r="B11" s="262" t="s">
        <v>215</v>
      </c>
      <c r="C11" s="269">
        <v>100974</v>
      </c>
      <c r="D11" s="340" t="s">
        <v>212</v>
      </c>
      <c r="E11" s="341"/>
      <c r="F11" s="341"/>
      <c r="G11" s="341"/>
      <c r="H11" s="341"/>
      <c r="I11" s="341"/>
      <c r="J11" s="342"/>
      <c r="K11" s="263">
        <f>K10</f>
        <v>3300</v>
      </c>
      <c r="L11" s="264" t="s">
        <v>39</v>
      </c>
      <c r="M11" s="275">
        <v>8.56</v>
      </c>
      <c r="N11" s="276">
        <f>ROUND(M11*1.2423,2)</f>
        <v>10.63</v>
      </c>
      <c r="O11" s="247">
        <f>ROUND(K11*M11,2)</f>
        <v>28248</v>
      </c>
      <c r="P11" s="246">
        <f>ROUND(K11*N11,2)</f>
        <v>35079</v>
      </c>
    </row>
    <row r="12" spans="1:20" ht="51.95" customHeight="1" x14ac:dyDescent="0.25">
      <c r="A12" s="268" t="s">
        <v>211</v>
      </c>
      <c r="B12" s="262" t="s">
        <v>215</v>
      </c>
      <c r="C12" s="269">
        <v>95875</v>
      </c>
      <c r="D12" s="343" t="s">
        <v>209</v>
      </c>
      <c r="E12" s="344"/>
      <c r="F12" s="344"/>
      <c r="G12" s="344"/>
      <c r="H12" s="344"/>
      <c r="I12" s="344"/>
      <c r="J12" s="345"/>
      <c r="K12" s="270">
        <f>K10*30</f>
        <v>99000</v>
      </c>
      <c r="L12" s="271" t="s">
        <v>210</v>
      </c>
      <c r="M12" s="277">
        <v>2.4</v>
      </c>
      <c r="N12" s="278">
        <f t="shared" ref="N12" si="0">ROUND(M12*1.2423,2)</f>
        <v>2.98</v>
      </c>
      <c r="O12" s="272">
        <f>ROUND(K12*M12,2)</f>
        <v>237600</v>
      </c>
      <c r="P12" s="273">
        <f>ROUND(K12*N12,2)</f>
        <v>295020</v>
      </c>
    </row>
    <row r="13" spans="1:20" ht="24.95" customHeight="1" x14ac:dyDescent="0.25">
      <c r="A13" s="83" t="s">
        <v>201</v>
      </c>
      <c r="B13" s="245"/>
      <c r="C13" s="265"/>
      <c r="D13" s="346" t="s">
        <v>200</v>
      </c>
      <c r="E13" s="347"/>
      <c r="F13" s="347"/>
      <c r="G13" s="347"/>
      <c r="H13" s="347"/>
      <c r="I13" s="347"/>
      <c r="J13" s="348"/>
      <c r="K13" s="75"/>
      <c r="L13" s="75"/>
      <c r="M13" s="279"/>
      <c r="N13" s="279"/>
      <c r="O13" s="267">
        <f>SUM(O14:O15)</f>
        <v>419640</v>
      </c>
      <c r="P13" s="266">
        <f>SUM(P14:P15)</f>
        <v>521320</v>
      </c>
    </row>
    <row r="14" spans="1:20" ht="53.25" customHeight="1" x14ac:dyDescent="0.25">
      <c r="A14" s="261" t="s">
        <v>46</v>
      </c>
      <c r="B14" s="262" t="s">
        <v>215</v>
      </c>
      <c r="C14" s="269">
        <v>5678</v>
      </c>
      <c r="D14" s="340" t="s">
        <v>203</v>
      </c>
      <c r="E14" s="341"/>
      <c r="F14" s="341"/>
      <c r="G14" s="341"/>
      <c r="H14" s="341"/>
      <c r="I14" s="341"/>
      <c r="J14" s="342"/>
      <c r="K14" s="263">
        <v>1000</v>
      </c>
      <c r="L14" s="264" t="s">
        <v>205</v>
      </c>
      <c r="M14" s="275">
        <v>153.09</v>
      </c>
      <c r="N14" s="276">
        <f>ROUND(M14*1.2423,2)</f>
        <v>190.18</v>
      </c>
      <c r="O14" s="247">
        <f>ROUND(K14*M14,2)</f>
        <v>153090</v>
      </c>
      <c r="P14" s="246">
        <f>ROUND(K14*N14,2)</f>
        <v>190180</v>
      </c>
    </row>
    <row r="15" spans="1:20" ht="53.25" customHeight="1" x14ac:dyDescent="0.25">
      <c r="A15" s="261" t="s">
        <v>50</v>
      </c>
      <c r="B15" s="262" t="s">
        <v>215</v>
      </c>
      <c r="C15" s="269">
        <v>91386</v>
      </c>
      <c r="D15" s="350" t="s">
        <v>204</v>
      </c>
      <c r="E15" s="351"/>
      <c r="F15" s="351"/>
      <c r="G15" s="351"/>
      <c r="H15" s="351"/>
      <c r="I15" s="351"/>
      <c r="J15" s="352"/>
      <c r="K15" s="263">
        <v>1000</v>
      </c>
      <c r="L15" s="264" t="s">
        <v>205</v>
      </c>
      <c r="M15" s="280">
        <v>266.55</v>
      </c>
      <c r="N15" s="276">
        <f t="shared" ref="N15" si="1">ROUND(M15*1.2423,2)</f>
        <v>331.14</v>
      </c>
      <c r="O15" s="247">
        <f>ROUND(K15*M15,2)</f>
        <v>266550</v>
      </c>
      <c r="P15" s="246">
        <f>ROUND(K15*N15,2)</f>
        <v>331140</v>
      </c>
    </row>
    <row r="16" spans="1:20" ht="25.5" customHeight="1" thickBot="1" x14ac:dyDescent="0.3">
      <c r="A16" s="83"/>
      <c r="B16" s="245"/>
      <c r="C16" s="274"/>
      <c r="D16" s="346"/>
      <c r="E16" s="347"/>
      <c r="F16" s="347"/>
      <c r="G16" s="347"/>
      <c r="H16" s="347"/>
      <c r="I16" s="347"/>
      <c r="J16" s="348"/>
      <c r="K16" s="317" t="s">
        <v>94</v>
      </c>
      <c r="L16" s="318"/>
      <c r="M16" s="318"/>
      <c r="N16" s="319"/>
      <c r="O16" s="267">
        <f>O9+O13</f>
        <v>5667135</v>
      </c>
      <c r="P16" s="266">
        <f>P9+P13</f>
        <v>7040107</v>
      </c>
    </row>
    <row r="17" spans="1:16" ht="59.25" customHeight="1" thickBot="1" x14ac:dyDescent="0.3">
      <c r="A17" s="255"/>
      <c r="B17" s="256"/>
      <c r="C17" s="256"/>
      <c r="D17" s="256"/>
      <c r="E17" s="256"/>
      <c r="F17" s="256"/>
      <c r="G17" s="260"/>
      <c r="H17" s="260"/>
      <c r="I17" s="260"/>
      <c r="J17" s="260"/>
      <c r="K17" s="260"/>
      <c r="L17" s="260"/>
      <c r="M17" s="260"/>
      <c r="N17" s="256"/>
      <c r="O17" s="256"/>
      <c r="P17" s="257"/>
    </row>
    <row r="18" spans="1:16" ht="15.75" customHeight="1" x14ac:dyDescent="0.25">
      <c r="A18" s="16"/>
      <c r="B18" s="107"/>
      <c r="C18" s="107"/>
      <c r="D18" s="107"/>
      <c r="E18" s="107"/>
      <c r="F18" s="107"/>
      <c r="G18" s="107"/>
      <c r="H18" s="107"/>
      <c r="I18" s="107"/>
      <c r="J18" s="258" t="s">
        <v>193</v>
      </c>
      <c r="K18" s="258"/>
      <c r="L18" s="258"/>
      <c r="M18" s="258"/>
      <c r="N18" s="258"/>
      <c r="O18" s="258"/>
      <c r="P18" s="11"/>
    </row>
    <row r="19" spans="1:16" ht="15.75" customHeight="1" x14ac:dyDescent="0.25">
      <c r="A19" s="16"/>
      <c r="B19" s="107"/>
      <c r="C19" s="107"/>
      <c r="D19" s="107"/>
      <c r="E19" s="107"/>
      <c r="F19" s="107"/>
      <c r="G19" s="107"/>
      <c r="H19" s="107"/>
      <c r="I19" s="107"/>
      <c r="J19" s="259" t="s">
        <v>194</v>
      </c>
      <c r="K19" s="259"/>
      <c r="L19" s="259"/>
      <c r="M19" s="259"/>
      <c r="N19" s="259"/>
      <c r="O19" s="259"/>
      <c r="P19" s="11"/>
    </row>
    <row r="20" spans="1:16" ht="15.75" customHeight="1" x14ac:dyDescent="0.25">
      <c r="A20" s="16"/>
      <c r="B20" s="107"/>
      <c r="C20" s="107"/>
      <c r="D20" s="107"/>
      <c r="E20" s="107"/>
      <c r="F20" s="107"/>
      <c r="G20" s="107"/>
      <c r="H20" s="107"/>
      <c r="I20" s="107"/>
      <c r="J20" s="259" t="s">
        <v>195</v>
      </c>
      <c r="K20" s="259"/>
      <c r="L20" s="259"/>
      <c r="M20" s="259"/>
      <c r="N20" s="259"/>
      <c r="O20" s="259"/>
      <c r="P20" s="11"/>
    </row>
    <row r="21" spans="1:16" ht="15.75" customHeight="1" x14ac:dyDescent="0.25">
      <c r="A21" s="16"/>
      <c r="B21" s="107"/>
      <c r="C21" s="107"/>
      <c r="D21" s="107"/>
      <c r="E21" s="107"/>
      <c r="F21" s="107"/>
      <c r="G21" s="107"/>
      <c r="H21" s="107"/>
      <c r="I21" s="107"/>
      <c r="J21" s="107"/>
      <c r="K21" s="110"/>
      <c r="L21" s="107"/>
      <c r="M21" s="107"/>
      <c r="N21" s="107"/>
      <c r="O21" s="107"/>
      <c r="P21" s="11"/>
    </row>
    <row r="22" spans="1:16" ht="4.5" customHeight="1" thickBot="1" x14ac:dyDescent="0.3">
      <c r="A22" s="6"/>
      <c r="B22" s="253"/>
      <c r="C22" s="253"/>
      <c r="D22" s="253"/>
      <c r="E22" s="253"/>
      <c r="F22" s="253"/>
      <c r="G22" s="253"/>
      <c r="H22" s="253"/>
      <c r="I22" s="253"/>
      <c r="J22" s="253"/>
      <c r="K22" s="254"/>
      <c r="L22" s="253"/>
      <c r="M22" s="253"/>
      <c r="N22" s="253"/>
      <c r="O22" s="253"/>
      <c r="P22" s="7"/>
    </row>
    <row r="23" spans="1:16" x14ac:dyDescent="0.25">
      <c r="A23" s="16"/>
      <c r="B23" s="107"/>
      <c r="C23" s="107"/>
      <c r="D23" s="107"/>
      <c r="E23" s="107"/>
      <c r="F23" s="107"/>
      <c r="G23" s="107"/>
      <c r="H23" s="107"/>
      <c r="I23" s="107"/>
      <c r="J23" s="107"/>
      <c r="K23" s="110"/>
      <c r="L23" s="107"/>
      <c r="M23" s="107"/>
      <c r="N23" s="107"/>
      <c r="O23" s="107"/>
      <c r="P23" s="11"/>
    </row>
    <row r="24" spans="1:16" x14ac:dyDescent="0.25">
      <c r="A24" s="16"/>
      <c r="B24" s="107"/>
      <c r="C24" s="107"/>
      <c r="D24" s="107"/>
      <c r="E24" s="107"/>
      <c r="F24" s="107"/>
      <c r="G24" s="107"/>
      <c r="H24" s="107"/>
      <c r="I24" s="107"/>
      <c r="J24" s="107"/>
      <c r="K24" s="110"/>
      <c r="L24" s="107"/>
      <c r="M24" s="107"/>
      <c r="N24" s="107"/>
      <c r="O24" s="107"/>
      <c r="P24" s="11"/>
    </row>
    <row r="25" spans="1:16" ht="15" customHeight="1" x14ac:dyDescent="0.25">
      <c r="A25" s="16"/>
      <c r="B25" s="107"/>
      <c r="C25" s="107"/>
      <c r="D25" s="107"/>
      <c r="E25" s="107"/>
      <c r="F25" s="107"/>
      <c r="G25" s="107"/>
      <c r="H25" s="107"/>
      <c r="I25" s="107"/>
      <c r="J25" s="107"/>
      <c r="K25" s="110"/>
      <c r="L25" s="107"/>
      <c r="M25" s="107"/>
      <c r="N25" s="107"/>
      <c r="O25" s="107"/>
      <c r="P25" s="11"/>
    </row>
    <row r="26" spans="1:16" x14ac:dyDescent="0.25">
      <c r="A26" s="16"/>
      <c r="B26" s="107"/>
      <c r="C26" s="107"/>
      <c r="D26" s="107"/>
      <c r="E26" s="107"/>
      <c r="F26" s="107"/>
      <c r="G26" s="107"/>
      <c r="H26" s="107"/>
      <c r="I26" s="107"/>
      <c r="J26" s="107"/>
      <c r="K26" s="110"/>
      <c r="L26" s="107"/>
      <c r="M26" s="107"/>
      <c r="N26" s="107"/>
      <c r="O26" s="107"/>
      <c r="P26" s="11"/>
    </row>
    <row r="27" spans="1:16" x14ac:dyDescent="0.25">
      <c r="A27" s="16"/>
      <c r="B27" s="107"/>
      <c r="C27" s="107"/>
      <c r="D27" s="107"/>
      <c r="E27" s="107"/>
      <c r="F27" s="107"/>
      <c r="G27" s="107"/>
      <c r="H27" s="107"/>
      <c r="I27" s="107"/>
      <c r="J27" s="107"/>
      <c r="K27" s="110"/>
      <c r="L27" s="107"/>
      <c r="M27" s="107"/>
      <c r="N27" s="107"/>
      <c r="O27" s="107"/>
      <c r="P27" s="11"/>
    </row>
    <row r="28" spans="1:16" x14ac:dyDescent="0.25">
      <c r="A28" s="16"/>
      <c r="B28" s="107"/>
      <c r="C28" s="107"/>
      <c r="D28" s="107"/>
      <c r="E28" s="107"/>
      <c r="F28" s="107"/>
      <c r="G28" s="107"/>
      <c r="H28" s="107"/>
      <c r="I28" s="107"/>
      <c r="J28" s="107"/>
      <c r="K28" s="110"/>
      <c r="L28" s="107"/>
      <c r="M28" s="107"/>
      <c r="N28" s="107"/>
      <c r="O28" s="107"/>
      <c r="P28" s="11"/>
    </row>
    <row r="29" spans="1:16" x14ac:dyDescent="0.25">
      <c r="A29" s="16"/>
      <c r="B29" s="107"/>
      <c r="C29" s="107"/>
      <c r="D29" s="107"/>
      <c r="E29" s="107"/>
      <c r="F29" s="107"/>
      <c r="G29" s="107"/>
      <c r="H29" s="107"/>
      <c r="I29" s="107"/>
      <c r="J29" s="107"/>
      <c r="K29" s="110"/>
      <c r="L29" s="107"/>
      <c r="M29" s="107"/>
      <c r="N29" s="107"/>
      <c r="O29" s="107"/>
      <c r="P29" s="11"/>
    </row>
    <row r="30" spans="1:16" x14ac:dyDescent="0.25">
      <c r="A30" s="16"/>
      <c r="B30" s="107"/>
      <c r="C30" s="107"/>
      <c r="D30" s="107"/>
      <c r="E30" s="107"/>
      <c r="F30" s="107"/>
      <c r="G30" s="107"/>
      <c r="H30" s="107"/>
      <c r="I30" s="107"/>
      <c r="J30" s="107"/>
      <c r="K30" s="110"/>
      <c r="L30" s="107"/>
      <c r="M30" s="107"/>
      <c r="N30" s="107"/>
      <c r="O30" s="107"/>
      <c r="P30" s="11"/>
    </row>
    <row r="31" spans="1:16" ht="15" customHeight="1" thickBot="1" x14ac:dyDescent="0.3">
      <c r="A31" s="6"/>
      <c r="B31" s="253"/>
      <c r="C31" s="253"/>
      <c r="D31" s="253"/>
      <c r="E31" s="253"/>
      <c r="F31" s="253"/>
      <c r="G31" s="253"/>
      <c r="H31" s="253"/>
      <c r="I31" s="253"/>
      <c r="J31" s="253"/>
      <c r="K31" s="254"/>
      <c r="L31" s="253"/>
      <c r="M31" s="253"/>
      <c r="N31" s="253"/>
      <c r="O31" s="253"/>
      <c r="P31" s="7"/>
    </row>
    <row r="37" ht="26.25" customHeight="1" x14ac:dyDescent="0.25"/>
    <row r="38" ht="26.25" customHeight="1" x14ac:dyDescent="0.25"/>
    <row r="39" ht="26.25" customHeight="1" x14ac:dyDescent="0.25"/>
    <row r="40" ht="26.25" customHeight="1" x14ac:dyDescent="0.25"/>
  </sheetData>
  <mergeCells count="15">
    <mergeCell ref="K16:N16"/>
    <mergeCell ref="A1:P4"/>
    <mergeCell ref="A5:P5"/>
    <mergeCell ref="A6:P6"/>
    <mergeCell ref="N7:P7"/>
    <mergeCell ref="A7:M7"/>
    <mergeCell ref="D10:J10"/>
    <mergeCell ref="D12:J12"/>
    <mergeCell ref="D16:J16"/>
    <mergeCell ref="D9:J9"/>
    <mergeCell ref="D8:J8"/>
    <mergeCell ref="D13:J13"/>
    <mergeCell ref="D14:J14"/>
    <mergeCell ref="D15:J15"/>
    <mergeCell ref="D11:J11"/>
  </mergeCells>
  <printOptions horizontalCentered="1" verticalCentered="1"/>
  <pageMargins left="0.98425196850393704" right="0" top="0.59055118110236227" bottom="0.59055118110236227" header="0" footer="0"/>
  <pageSetup paperSize="9" scale="61"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zoomScaleSheetLayoutView="100" workbookViewId="0">
      <selection activeCell="AC51" sqref="AC51:AC56"/>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57" t="s">
        <v>111</v>
      </c>
      <c r="B1" s="358"/>
      <c r="C1" s="358"/>
      <c r="D1" s="358"/>
      <c r="E1" s="358"/>
      <c r="F1" s="358"/>
      <c r="G1" s="358"/>
      <c r="H1" s="359"/>
    </row>
    <row r="2" spans="1:8" x14ac:dyDescent="0.25">
      <c r="A2" s="360"/>
      <c r="B2" s="361"/>
      <c r="C2" s="361"/>
      <c r="D2" s="361"/>
      <c r="E2" s="361"/>
      <c r="F2" s="361"/>
      <c r="G2" s="361"/>
      <c r="H2" s="362"/>
    </row>
    <row r="3" spans="1:8" x14ac:dyDescent="0.25">
      <c r="A3" s="360"/>
      <c r="B3" s="361"/>
      <c r="C3" s="361"/>
      <c r="D3" s="361"/>
      <c r="E3" s="361"/>
      <c r="F3" s="361"/>
      <c r="G3" s="361"/>
      <c r="H3" s="362"/>
    </row>
    <row r="4" spans="1:8" ht="15.75" thickBot="1" x14ac:dyDescent="0.3">
      <c r="A4" s="363"/>
      <c r="B4" s="364"/>
      <c r="C4" s="364"/>
      <c r="D4" s="364"/>
      <c r="E4" s="364"/>
      <c r="F4" s="364"/>
      <c r="G4" s="364"/>
      <c r="H4" s="365"/>
    </row>
    <row r="5" spans="1:8" ht="18.75" customHeight="1" thickTop="1" thickBot="1" x14ac:dyDescent="0.35">
      <c r="A5" s="366">
        <v>43046</v>
      </c>
      <c r="B5" s="367"/>
      <c r="C5" s="367"/>
      <c r="D5" s="367"/>
      <c r="E5" s="367"/>
      <c r="F5" s="367"/>
      <c r="G5" s="368"/>
      <c r="H5" s="178"/>
    </row>
    <row r="6" spans="1:8" ht="15.75" customHeight="1" thickTop="1" x14ac:dyDescent="0.25">
      <c r="A6" s="113" t="s">
        <v>90</v>
      </c>
      <c r="B6" s="111" t="s">
        <v>103</v>
      </c>
      <c r="C6" s="111" t="s">
        <v>104</v>
      </c>
      <c r="D6" s="111" t="s">
        <v>105</v>
      </c>
      <c r="E6" s="111" t="s">
        <v>108</v>
      </c>
      <c r="F6" s="224" t="s">
        <v>107</v>
      </c>
      <c r="G6" s="127" t="s">
        <v>122</v>
      </c>
      <c r="H6" s="178"/>
    </row>
    <row r="7" spans="1:8" ht="15" customHeight="1" x14ac:dyDescent="0.25">
      <c r="A7" s="124"/>
      <c r="B7" s="108"/>
      <c r="C7" s="108"/>
      <c r="D7" s="155">
        <f t="shared" ref="D7:D14" si="0">C7*B7</f>
        <v>0</v>
      </c>
      <c r="E7" s="155"/>
      <c r="F7" s="155"/>
      <c r="G7" s="369">
        <f>SUM(D7:D32)</f>
        <v>0</v>
      </c>
      <c r="H7" s="178"/>
    </row>
    <row r="8" spans="1:8" ht="15" customHeight="1" x14ac:dyDescent="0.25">
      <c r="A8" s="125"/>
      <c r="B8" s="108"/>
      <c r="C8" s="108"/>
      <c r="D8" s="155">
        <f t="shared" si="0"/>
        <v>0</v>
      </c>
      <c r="E8" s="155"/>
      <c r="F8" s="155"/>
      <c r="G8" s="370"/>
      <c r="H8" s="178"/>
    </row>
    <row r="9" spans="1:8" ht="15" customHeight="1" x14ac:dyDescent="0.25">
      <c r="A9" s="125"/>
      <c r="B9" s="108"/>
      <c r="C9" s="108"/>
      <c r="D9" s="155">
        <f t="shared" si="0"/>
        <v>0</v>
      </c>
      <c r="E9" s="155"/>
      <c r="F9" s="155"/>
      <c r="G9" s="370"/>
      <c r="H9" s="178"/>
    </row>
    <row r="10" spans="1:8" ht="15" customHeight="1" x14ac:dyDescent="0.25">
      <c r="A10" s="125"/>
      <c r="B10" s="108"/>
      <c r="C10" s="108"/>
      <c r="D10" s="155">
        <f t="shared" si="0"/>
        <v>0</v>
      </c>
      <c r="E10" s="155" t="s">
        <v>182</v>
      </c>
      <c r="F10" s="155"/>
      <c r="G10" s="370"/>
      <c r="H10" s="178"/>
    </row>
    <row r="11" spans="1:8" ht="15" customHeight="1" x14ac:dyDescent="0.25">
      <c r="A11" s="125"/>
      <c r="B11" s="108"/>
      <c r="C11" s="108"/>
      <c r="D11" s="155">
        <f t="shared" si="0"/>
        <v>0</v>
      </c>
      <c r="E11" s="155"/>
      <c r="F11" s="155"/>
      <c r="G11" s="370"/>
      <c r="H11" s="178"/>
    </row>
    <row r="12" spans="1:8" ht="15" customHeight="1" x14ac:dyDescent="0.25">
      <c r="A12" s="125"/>
      <c r="B12" s="108"/>
      <c r="C12" s="108"/>
      <c r="D12" s="155">
        <f t="shared" si="0"/>
        <v>0</v>
      </c>
      <c r="E12" s="155"/>
      <c r="F12" s="155"/>
      <c r="G12" s="370"/>
      <c r="H12" s="178"/>
    </row>
    <row r="13" spans="1:8" ht="15" customHeight="1" x14ac:dyDescent="0.25">
      <c r="A13" s="125"/>
      <c r="B13" s="108"/>
      <c r="C13" s="108"/>
      <c r="D13" s="155">
        <f t="shared" si="0"/>
        <v>0</v>
      </c>
      <c r="E13" s="155"/>
      <c r="F13" s="155"/>
      <c r="G13" s="370"/>
      <c r="H13" s="126"/>
    </row>
    <row r="14" spans="1:8" ht="15" customHeight="1" x14ac:dyDescent="0.25">
      <c r="A14" s="125"/>
      <c r="B14" s="108"/>
      <c r="C14" s="108"/>
      <c r="D14" s="155">
        <f t="shared" si="0"/>
        <v>0</v>
      </c>
      <c r="E14" s="155"/>
      <c r="F14" s="155"/>
      <c r="G14" s="370"/>
      <c r="H14" s="126"/>
    </row>
    <row r="15" spans="1:8" ht="15" customHeight="1" x14ac:dyDescent="0.25">
      <c r="A15" s="125"/>
      <c r="B15" s="108"/>
      <c r="C15" s="108"/>
      <c r="D15" s="155"/>
      <c r="E15" s="109"/>
      <c r="F15" s="155"/>
      <c r="G15" s="370"/>
      <c r="H15" s="126"/>
    </row>
    <row r="16" spans="1:8" ht="15" customHeight="1" x14ac:dyDescent="0.25">
      <c r="A16" s="125"/>
      <c r="B16" s="108"/>
      <c r="C16" s="108"/>
      <c r="D16" s="155"/>
      <c r="E16" s="109"/>
      <c r="F16" s="155"/>
      <c r="G16" s="370"/>
      <c r="H16" s="126"/>
    </row>
    <row r="17" spans="1:8" ht="15" customHeight="1" x14ac:dyDescent="0.25">
      <c r="A17" s="125"/>
      <c r="B17" s="108"/>
      <c r="C17" s="108"/>
      <c r="D17" s="155"/>
      <c r="E17" s="109"/>
      <c r="F17" s="155"/>
      <c r="G17" s="370"/>
      <c r="H17" s="126"/>
    </row>
    <row r="18" spans="1:8" ht="15" customHeight="1" x14ac:dyDescent="0.25">
      <c r="A18" s="125"/>
      <c r="B18" s="108"/>
      <c r="C18" s="108"/>
      <c r="D18" s="155"/>
      <c r="E18" s="109"/>
      <c r="F18" s="155"/>
      <c r="G18" s="370"/>
      <c r="H18" s="126"/>
    </row>
    <row r="19" spans="1:8" ht="15" customHeight="1" x14ac:dyDescent="0.25">
      <c r="A19" s="125"/>
      <c r="B19" s="108"/>
      <c r="C19" s="108"/>
      <c r="D19" s="155"/>
      <c r="E19" s="109"/>
      <c r="F19" s="155"/>
      <c r="G19" s="370"/>
      <c r="H19" s="126"/>
    </row>
    <row r="20" spans="1:8" ht="15" customHeight="1" x14ac:dyDescent="0.25">
      <c r="A20" s="125"/>
      <c r="B20" s="108"/>
      <c r="C20" s="108"/>
      <c r="D20" s="155"/>
      <c r="E20" s="109"/>
      <c r="F20" s="155"/>
      <c r="G20" s="370"/>
      <c r="H20" s="126"/>
    </row>
    <row r="21" spans="1:8" ht="15" customHeight="1" x14ac:dyDescent="0.25">
      <c r="A21" s="125"/>
      <c r="B21" s="108"/>
      <c r="C21" s="108"/>
      <c r="D21" s="155"/>
      <c r="E21" s="109"/>
      <c r="F21" s="155"/>
      <c r="G21" s="370"/>
      <c r="H21" s="126"/>
    </row>
    <row r="22" spans="1:8" ht="15" customHeight="1" x14ac:dyDescent="0.25">
      <c r="A22" s="125"/>
      <c r="B22" s="108"/>
      <c r="C22" s="108"/>
      <c r="D22" s="155"/>
      <c r="E22" s="109"/>
      <c r="F22" s="155"/>
      <c r="G22" s="370"/>
      <c r="H22" s="126"/>
    </row>
    <row r="23" spans="1:8" ht="15" customHeight="1" x14ac:dyDescent="0.25">
      <c r="A23" s="125"/>
      <c r="B23" s="108"/>
      <c r="C23" s="108"/>
      <c r="D23" s="155"/>
      <c r="E23" s="109"/>
      <c r="F23" s="155"/>
      <c r="G23" s="370"/>
      <c r="H23" s="126"/>
    </row>
    <row r="24" spans="1:8" ht="15" customHeight="1" x14ac:dyDescent="0.25">
      <c r="A24" s="125"/>
      <c r="B24" s="108"/>
      <c r="C24" s="108"/>
      <c r="D24" s="155"/>
      <c r="E24" s="109"/>
      <c r="F24" s="155"/>
      <c r="G24" s="370"/>
      <c r="H24" s="126"/>
    </row>
    <row r="25" spans="1:8" ht="15" customHeight="1" x14ac:dyDescent="0.25">
      <c r="A25" s="125"/>
      <c r="B25" s="108"/>
      <c r="C25" s="108"/>
      <c r="D25" s="155"/>
      <c r="E25" s="109"/>
      <c r="F25" s="155"/>
      <c r="G25" s="370"/>
      <c r="H25" s="126"/>
    </row>
    <row r="26" spans="1:8" ht="15" customHeight="1" x14ac:dyDescent="0.25">
      <c r="A26" s="125"/>
      <c r="B26" s="108"/>
      <c r="C26" s="108"/>
      <c r="D26" s="155"/>
      <c r="E26" s="109"/>
      <c r="F26" s="155"/>
      <c r="G26" s="370"/>
      <c r="H26" s="126"/>
    </row>
    <row r="27" spans="1:8" ht="15" customHeight="1" x14ac:dyDescent="0.25">
      <c r="A27" s="125"/>
      <c r="B27" s="108"/>
      <c r="C27" s="108"/>
      <c r="D27" s="155"/>
      <c r="E27" s="109"/>
      <c r="F27" s="155"/>
      <c r="G27" s="370"/>
      <c r="H27" s="126"/>
    </row>
    <row r="28" spans="1:8" ht="15" customHeight="1" x14ac:dyDescent="0.25">
      <c r="A28" s="125"/>
      <c r="B28" s="108"/>
      <c r="C28" s="108"/>
      <c r="D28" s="155"/>
      <c r="E28" s="109"/>
      <c r="F28" s="155"/>
      <c r="G28" s="370"/>
      <c r="H28" s="126"/>
    </row>
    <row r="29" spans="1:8" ht="15" customHeight="1" x14ac:dyDescent="0.25">
      <c r="A29" s="125"/>
      <c r="B29" s="108"/>
      <c r="C29" s="108"/>
      <c r="D29" s="155"/>
      <c r="E29" s="109"/>
      <c r="F29" s="155"/>
      <c r="G29" s="370"/>
      <c r="H29" s="126"/>
    </row>
    <row r="30" spans="1:8" ht="15" customHeight="1" x14ac:dyDescent="0.25">
      <c r="A30" s="125"/>
      <c r="B30" s="108"/>
      <c r="C30" s="108"/>
      <c r="D30" s="155"/>
      <c r="E30" s="109"/>
      <c r="F30" s="155"/>
      <c r="G30" s="370"/>
      <c r="H30" s="126"/>
    </row>
    <row r="31" spans="1:8" ht="15" customHeight="1" x14ac:dyDescent="0.25">
      <c r="A31" s="125"/>
      <c r="B31" s="108"/>
      <c r="C31" s="108"/>
      <c r="D31" s="155"/>
      <c r="E31" s="109"/>
      <c r="F31" s="155"/>
      <c r="G31" s="370"/>
      <c r="H31" s="126"/>
    </row>
    <row r="32" spans="1:8" ht="15" customHeight="1" x14ac:dyDescent="0.25">
      <c r="A32" s="125"/>
      <c r="B32" s="108"/>
      <c r="C32" s="108"/>
      <c r="D32" s="155"/>
      <c r="E32" s="109"/>
      <c r="F32" s="155"/>
      <c r="G32" s="370"/>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71" t="s">
        <v>128</v>
      </c>
    </row>
    <row r="40" spans="1:8" ht="15" customHeight="1" thickBot="1" x14ac:dyDescent="0.3">
      <c r="A40" s="157"/>
      <c r="B40" s="143"/>
      <c r="C40" s="143"/>
      <c r="D40" s="144"/>
      <c r="E40" s="145"/>
      <c r="F40" s="130"/>
      <c r="G40" s="174"/>
      <c r="H40" s="372"/>
    </row>
    <row r="41" spans="1:8" ht="15" customHeight="1" thickTop="1" x14ac:dyDescent="0.25">
      <c r="A41" s="156"/>
      <c r="B41" s="146"/>
      <c r="C41" s="146"/>
      <c r="D41" s="147"/>
      <c r="E41" s="148"/>
      <c r="F41" s="149"/>
      <c r="G41" s="373">
        <f>SUM(D41:D42)</f>
        <v>0</v>
      </c>
      <c r="H41" s="375">
        <f>SUM(G7:G40)</f>
        <v>0</v>
      </c>
    </row>
    <row r="42" spans="1:8" ht="15" customHeight="1" thickBot="1" x14ac:dyDescent="0.3">
      <c r="A42" s="118"/>
      <c r="B42" s="114"/>
      <c r="C42" s="114"/>
      <c r="D42" s="219"/>
      <c r="E42" s="115"/>
      <c r="F42" s="122"/>
      <c r="G42" s="374"/>
      <c r="H42" s="376"/>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77" t="str">
        <f>"QUANTIDADES RUA OPERAÇÃO TAPA BURACO NA "&amp;UPPER(E10)</f>
        <v>QUANTIDADES RUA OPERAÇÃO TAPA BURACO NA RUA ANTONIO SARKIS</v>
      </c>
      <c r="B45" s="378"/>
      <c r="C45" s="378"/>
      <c r="D45" s="378"/>
      <c r="E45" s="378"/>
      <c r="F45" s="379"/>
      <c r="G45" s="377" t="s">
        <v>136</v>
      </c>
      <c r="H45" s="379"/>
    </row>
    <row r="46" spans="1:8" ht="15.75" customHeight="1" thickBot="1" x14ac:dyDescent="0.3">
      <c r="A46" s="380"/>
      <c r="B46" s="381"/>
      <c r="C46" s="381"/>
      <c r="D46" s="381"/>
      <c r="E46" s="381"/>
      <c r="F46" s="382"/>
      <c r="G46" s="380"/>
      <c r="H46" s="382"/>
    </row>
    <row r="47" spans="1:8" ht="15" customHeight="1" thickTop="1" x14ac:dyDescent="0.25">
      <c r="A47" s="131" t="s">
        <v>102</v>
      </c>
      <c r="B47" s="383" t="s">
        <v>32</v>
      </c>
      <c r="C47" s="384"/>
      <c r="D47" s="132" t="s">
        <v>35</v>
      </c>
      <c r="E47" s="132" t="s">
        <v>124</v>
      </c>
      <c r="F47" s="133" t="s">
        <v>125</v>
      </c>
      <c r="G47" s="156"/>
      <c r="H47" s="179"/>
    </row>
    <row r="48" spans="1:8" ht="15.75" customHeight="1" x14ac:dyDescent="0.25">
      <c r="A48" s="134">
        <v>1</v>
      </c>
      <c r="B48" s="353" t="s">
        <v>106</v>
      </c>
      <c r="C48" s="354"/>
      <c r="D48" s="222" t="s">
        <v>105</v>
      </c>
      <c r="E48" s="135"/>
      <c r="F48" s="136">
        <f>G7</f>
        <v>0</v>
      </c>
      <c r="G48" s="385" t="s">
        <v>112</v>
      </c>
      <c r="H48" s="386"/>
    </row>
    <row r="49" spans="1:8" x14ac:dyDescent="0.25">
      <c r="A49" s="134">
        <v>2</v>
      </c>
      <c r="B49" s="353" t="s">
        <v>112</v>
      </c>
      <c r="C49" s="354"/>
      <c r="D49" s="222" t="s">
        <v>114</v>
      </c>
      <c r="E49" s="227" t="s">
        <v>181</v>
      </c>
      <c r="F49" s="136">
        <f>(23.3)</f>
        <v>23.3</v>
      </c>
      <c r="G49" s="355">
        <f>F49+F57</f>
        <v>23.3</v>
      </c>
      <c r="H49" s="356"/>
    </row>
    <row r="50" spans="1:8" ht="15.75" customHeight="1" x14ac:dyDescent="0.25">
      <c r="A50" s="134">
        <v>3</v>
      </c>
      <c r="B50" s="353" t="s">
        <v>113</v>
      </c>
      <c r="C50" s="354"/>
      <c r="D50" s="222" t="s">
        <v>115</v>
      </c>
      <c r="E50" s="138" t="e">
        <f>#REF!</f>
        <v>#REF!</v>
      </c>
      <c r="F50" s="136" t="e">
        <f>F49*E50</f>
        <v>#REF!</v>
      </c>
      <c r="G50" s="385" t="s">
        <v>137</v>
      </c>
      <c r="H50" s="386"/>
    </row>
    <row r="51" spans="1:8" ht="15" customHeight="1" thickBot="1" x14ac:dyDescent="0.3">
      <c r="A51" s="139">
        <v>4</v>
      </c>
      <c r="B51" s="388" t="s">
        <v>110</v>
      </c>
      <c r="C51" s="389"/>
      <c r="D51" s="223" t="s">
        <v>105</v>
      </c>
      <c r="E51" s="228"/>
      <c r="F51" s="141">
        <f>F48</f>
        <v>0</v>
      </c>
      <c r="G51" s="390" t="e">
        <f>F50+F58</f>
        <v>#REF!</v>
      </c>
      <c r="H51" s="391"/>
    </row>
    <row r="52" spans="1:8" ht="15" customHeight="1" thickTop="1" thickBot="1" x14ac:dyDescent="0.3">
      <c r="A52" s="157"/>
      <c r="B52" s="112"/>
      <c r="C52" s="112"/>
      <c r="D52" s="110"/>
      <c r="E52" s="107"/>
      <c r="F52" s="110"/>
      <c r="G52" s="217"/>
      <c r="H52" s="176"/>
    </row>
    <row r="53" spans="1:8" ht="15" customHeight="1" thickTop="1" x14ac:dyDescent="0.25">
      <c r="A53" s="392"/>
      <c r="B53" s="393"/>
      <c r="C53" s="393"/>
      <c r="D53" s="393"/>
      <c r="E53" s="393"/>
      <c r="F53" s="394"/>
      <c r="G53" s="110"/>
      <c r="H53" s="176"/>
    </row>
    <row r="54" spans="1:8" ht="15.75" customHeight="1" thickBot="1" x14ac:dyDescent="0.3">
      <c r="A54" s="395"/>
      <c r="B54" s="396"/>
      <c r="C54" s="396"/>
      <c r="D54" s="396"/>
      <c r="E54" s="396"/>
      <c r="F54" s="397"/>
      <c r="G54" s="110"/>
      <c r="H54" s="176"/>
    </row>
    <row r="55" spans="1:8" ht="15" customHeight="1" thickTop="1" x14ac:dyDescent="0.25">
      <c r="A55" s="131" t="s">
        <v>102</v>
      </c>
      <c r="B55" s="383" t="s">
        <v>32</v>
      </c>
      <c r="C55" s="384"/>
      <c r="D55" s="132" t="s">
        <v>35</v>
      </c>
      <c r="E55" s="132" t="s">
        <v>124</v>
      </c>
      <c r="F55" s="133" t="s">
        <v>125</v>
      </c>
      <c r="G55" s="217"/>
      <c r="H55" s="226"/>
    </row>
    <row r="56" spans="1:8" ht="15.75" customHeight="1" x14ac:dyDescent="0.25">
      <c r="A56" s="134">
        <v>1</v>
      </c>
      <c r="B56" s="353" t="s">
        <v>106</v>
      </c>
      <c r="C56" s="354"/>
      <c r="D56" s="222" t="s">
        <v>105</v>
      </c>
      <c r="E56" s="135"/>
      <c r="F56" s="136">
        <f>G15</f>
        <v>0</v>
      </c>
      <c r="G56" s="217"/>
      <c r="H56" s="226"/>
    </row>
    <row r="57" spans="1:8" x14ac:dyDescent="0.25">
      <c r="A57" s="134">
        <v>2</v>
      </c>
      <c r="B57" s="353" t="s">
        <v>112</v>
      </c>
      <c r="C57" s="354"/>
      <c r="D57" s="222" t="s">
        <v>114</v>
      </c>
      <c r="E57" s="227"/>
      <c r="F57" s="136">
        <f>E57</f>
        <v>0</v>
      </c>
      <c r="G57" s="217"/>
      <c r="H57" s="226"/>
    </row>
    <row r="58" spans="1:8" ht="15.75" customHeight="1" x14ac:dyDescent="0.25">
      <c r="A58" s="134">
        <v>3</v>
      </c>
      <c r="B58" s="353" t="s">
        <v>113</v>
      </c>
      <c r="C58" s="354"/>
      <c r="D58" s="222" t="s">
        <v>115</v>
      </c>
      <c r="E58" s="138"/>
      <c r="F58" s="136">
        <f>F57*E58</f>
        <v>0</v>
      </c>
      <c r="G58" s="217"/>
      <c r="H58" s="176"/>
    </row>
    <row r="59" spans="1:8" ht="15" customHeight="1" thickBot="1" x14ac:dyDescent="0.3">
      <c r="A59" s="139">
        <v>4</v>
      </c>
      <c r="B59" s="388" t="s">
        <v>110</v>
      </c>
      <c r="C59" s="389"/>
      <c r="D59" s="223" t="s">
        <v>105</v>
      </c>
      <c r="E59" s="228"/>
      <c r="F59" s="141">
        <f>F56</f>
        <v>0</v>
      </c>
      <c r="G59" s="217"/>
      <c r="H59" s="176"/>
    </row>
    <row r="60" spans="1:8" ht="15" customHeight="1" thickTop="1" x14ac:dyDescent="0.25">
      <c r="A60" s="157"/>
      <c r="B60" s="112"/>
      <c r="C60" s="112"/>
      <c r="D60" s="110"/>
      <c r="E60" s="107"/>
      <c r="F60" s="110"/>
      <c r="G60" s="217"/>
      <c r="H60" s="176"/>
    </row>
    <row r="61" spans="1:8" ht="15" customHeight="1" thickBot="1" x14ac:dyDescent="0.3">
      <c r="A61" s="129"/>
      <c r="B61" s="110"/>
      <c r="C61" s="110"/>
      <c r="D61" s="110"/>
      <c r="E61" s="107"/>
      <c r="F61" s="110"/>
      <c r="G61" s="110"/>
      <c r="H61" s="226"/>
    </row>
    <row r="62" spans="1:8" ht="15.75" customHeight="1" thickTop="1" x14ac:dyDescent="0.25">
      <c r="A62" s="392" t="s">
        <v>185</v>
      </c>
      <c r="B62" s="393"/>
      <c r="C62" s="393"/>
      <c r="D62" s="393"/>
      <c r="E62" s="393"/>
      <c r="F62" s="393"/>
      <c r="G62" s="394"/>
      <c r="H62" s="226"/>
    </row>
    <row r="63" spans="1:8" ht="15.75" thickBot="1" x14ac:dyDescent="0.3">
      <c r="A63" s="395"/>
      <c r="B63" s="396"/>
      <c r="C63" s="396"/>
      <c r="D63" s="396"/>
      <c r="E63" s="396"/>
      <c r="F63" s="396"/>
      <c r="G63" s="397"/>
      <c r="H63" s="226"/>
    </row>
    <row r="64" spans="1:8" ht="20.25" customHeight="1" thickTop="1" x14ac:dyDescent="0.25">
      <c r="A64" s="180" t="s">
        <v>102</v>
      </c>
      <c r="B64" s="387" t="s">
        <v>123</v>
      </c>
      <c r="C64" s="387"/>
      <c r="D64" s="225" t="s">
        <v>126</v>
      </c>
      <c r="E64" s="387" t="s">
        <v>124</v>
      </c>
      <c r="F64" s="387"/>
      <c r="G64" s="182" t="s">
        <v>127</v>
      </c>
      <c r="H64" s="226"/>
    </row>
    <row r="65" spans="1:9" ht="20.25" customHeight="1" x14ac:dyDescent="0.25">
      <c r="A65" s="119">
        <v>1</v>
      </c>
      <c r="B65" s="398" t="s">
        <v>109</v>
      </c>
      <c r="C65" s="398"/>
      <c r="D65" s="221" t="s">
        <v>105</v>
      </c>
      <c r="E65" s="399" t="s">
        <v>184</v>
      </c>
      <c r="F65" s="399"/>
      <c r="G65" s="216">
        <f>167*7.7+185*6.5</f>
        <v>2488.4</v>
      </c>
      <c r="H65" s="226"/>
    </row>
    <row r="66" spans="1:9" ht="27" customHeight="1" x14ac:dyDescent="0.25">
      <c r="A66" s="123">
        <v>2</v>
      </c>
      <c r="B66" s="398" t="s">
        <v>112</v>
      </c>
      <c r="C66" s="398"/>
      <c r="D66" s="221" t="s">
        <v>116</v>
      </c>
      <c r="E66" s="400" t="s">
        <v>183</v>
      </c>
      <c r="F66" s="400"/>
      <c r="G66" s="151">
        <f>23.5+27.61+22.06+20.62+22.46+22.47+21.82+21.89+26.31</f>
        <v>208.74</v>
      </c>
      <c r="H66" s="226"/>
    </row>
    <row r="67" spans="1:9" ht="20.25" customHeight="1" x14ac:dyDescent="0.25">
      <c r="A67" s="119">
        <v>3</v>
      </c>
      <c r="B67" s="398" t="s">
        <v>117</v>
      </c>
      <c r="C67" s="398"/>
      <c r="D67" s="221" t="s">
        <v>115</v>
      </c>
      <c r="E67" s="401">
        <v>7.7</v>
      </c>
      <c r="F67" s="401"/>
      <c r="G67" s="151">
        <f>G66*E67</f>
        <v>1607.298</v>
      </c>
      <c r="H67" s="226"/>
    </row>
    <row r="68" spans="1:9" ht="20.25" customHeight="1" x14ac:dyDescent="0.25">
      <c r="A68" s="119">
        <v>4</v>
      </c>
      <c r="B68" s="398" t="s">
        <v>118</v>
      </c>
      <c r="C68" s="398"/>
      <c r="D68" s="221" t="s">
        <v>119</v>
      </c>
      <c r="E68" s="402">
        <f>TRUNC(((G65*0.08)*1.8)/12,0)</f>
        <v>29</v>
      </c>
      <c r="F68" s="402"/>
      <c r="G68" s="151">
        <f>13*E68</f>
        <v>377</v>
      </c>
      <c r="H68" s="226"/>
    </row>
    <row r="69" spans="1:9" ht="20.25" customHeight="1" x14ac:dyDescent="0.25">
      <c r="A69" s="119">
        <v>5</v>
      </c>
      <c r="B69" s="398" t="s">
        <v>121</v>
      </c>
      <c r="C69" s="398"/>
      <c r="D69" s="221" t="s">
        <v>120</v>
      </c>
      <c r="E69" s="403">
        <v>5.8</v>
      </c>
      <c r="F69" s="403"/>
      <c r="G69" s="151">
        <f>G68*E69</f>
        <v>2186.6</v>
      </c>
      <c r="H69" s="226"/>
    </row>
    <row r="70" spans="1:9" ht="20.25" customHeight="1" thickBot="1" x14ac:dyDescent="0.3">
      <c r="A70" s="120">
        <v>6</v>
      </c>
      <c r="B70" s="404" t="s">
        <v>110</v>
      </c>
      <c r="C70" s="404"/>
      <c r="D70" s="229" t="s">
        <v>105</v>
      </c>
      <c r="E70" s="405" t="s">
        <v>184</v>
      </c>
      <c r="F70" s="406"/>
      <c r="G70" s="189">
        <f>167*7.7+185*6.5</f>
        <v>2488.4</v>
      </c>
      <c r="H70" s="226"/>
      <c r="I70">
        <f>G66/2.5</f>
        <v>83.496000000000009</v>
      </c>
    </row>
    <row r="71" spans="1:9" ht="16.5" thickTop="1" thickBot="1" x14ac:dyDescent="0.3">
      <c r="A71" s="129"/>
      <c r="B71" s="110"/>
      <c r="C71" s="110"/>
      <c r="D71" s="110"/>
      <c r="E71" s="107"/>
      <c r="F71" s="110"/>
      <c r="G71" s="110"/>
      <c r="H71" s="176"/>
      <c r="I71">
        <f>I70/0.04</f>
        <v>2087.4</v>
      </c>
    </row>
    <row r="72" spans="1:9" ht="15.75" customHeight="1" thickTop="1" x14ac:dyDescent="0.25">
      <c r="A72" s="392" t="s">
        <v>171</v>
      </c>
      <c r="B72" s="393"/>
      <c r="C72" s="393"/>
      <c r="D72" s="393"/>
      <c r="E72" s="393"/>
      <c r="F72" s="393"/>
      <c r="G72" s="394"/>
      <c r="H72" s="407" t="s">
        <v>154</v>
      </c>
    </row>
    <row r="73" spans="1:9" ht="15.75" thickBot="1" x14ac:dyDescent="0.3">
      <c r="A73" s="395"/>
      <c r="B73" s="396"/>
      <c r="C73" s="396"/>
      <c r="D73" s="396"/>
      <c r="E73" s="396"/>
      <c r="F73" s="396"/>
      <c r="G73" s="397"/>
      <c r="H73" s="408"/>
    </row>
    <row r="74" spans="1:9" ht="20.25" customHeight="1" thickTop="1" x14ac:dyDescent="0.25">
      <c r="A74" s="180" t="s">
        <v>102</v>
      </c>
      <c r="B74" s="387" t="s">
        <v>123</v>
      </c>
      <c r="C74" s="387"/>
      <c r="D74" s="225" t="s">
        <v>126</v>
      </c>
      <c r="E74" s="387" t="s">
        <v>124</v>
      </c>
      <c r="F74" s="387"/>
      <c r="G74" s="182" t="s">
        <v>127</v>
      </c>
      <c r="H74" s="183"/>
    </row>
    <row r="75" spans="1:9" ht="20.25" customHeight="1" x14ac:dyDescent="0.25">
      <c r="A75" s="119">
        <v>1</v>
      </c>
      <c r="B75" s="409" t="s">
        <v>109</v>
      </c>
      <c r="C75" s="409"/>
      <c r="D75" s="220" t="s">
        <v>105</v>
      </c>
      <c r="E75" s="410"/>
      <c r="F75" s="410"/>
      <c r="G75" s="150"/>
      <c r="H75" s="184">
        <f>G65+G75</f>
        <v>2488.4</v>
      </c>
    </row>
    <row r="76" spans="1:9" ht="20.25" customHeight="1" x14ac:dyDescent="0.25">
      <c r="A76" s="123">
        <v>2</v>
      </c>
      <c r="B76" s="398" t="s">
        <v>112</v>
      </c>
      <c r="C76" s="398"/>
      <c r="D76" s="221" t="s">
        <v>116</v>
      </c>
      <c r="E76" s="400"/>
      <c r="F76" s="400"/>
      <c r="G76" s="151"/>
      <c r="H76" s="184">
        <f t="shared" ref="H76:H80" si="1">G66+G76</f>
        <v>208.74</v>
      </c>
    </row>
    <row r="77" spans="1:9" ht="20.25" customHeight="1" x14ac:dyDescent="0.25">
      <c r="A77" s="119">
        <v>3</v>
      </c>
      <c r="B77" s="409" t="s">
        <v>117</v>
      </c>
      <c r="C77" s="409"/>
      <c r="D77" s="220" t="s">
        <v>115</v>
      </c>
      <c r="E77" s="413" t="e">
        <f>#REF!</f>
        <v>#REF!</v>
      </c>
      <c r="F77" s="413"/>
      <c r="G77" s="150" t="e">
        <f>G76*E77</f>
        <v>#REF!</v>
      </c>
      <c r="H77" s="184" t="e">
        <f t="shared" si="1"/>
        <v>#REF!</v>
      </c>
    </row>
    <row r="78" spans="1:9" ht="20.25" customHeight="1" x14ac:dyDescent="0.25">
      <c r="A78" s="119">
        <v>4</v>
      </c>
      <c r="B78" s="409" t="s">
        <v>118</v>
      </c>
      <c r="C78" s="409"/>
      <c r="D78" s="220" t="s">
        <v>119</v>
      </c>
      <c r="E78" s="402">
        <f>TRUNC(((G75*0.08)*1.8)/12,0)</f>
        <v>0</v>
      </c>
      <c r="F78" s="402"/>
      <c r="G78" s="150">
        <f>13*E78</f>
        <v>0</v>
      </c>
      <c r="H78" s="184">
        <f t="shared" si="1"/>
        <v>377</v>
      </c>
    </row>
    <row r="79" spans="1:9" ht="20.25" customHeight="1" x14ac:dyDescent="0.25">
      <c r="A79" s="119">
        <v>5</v>
      </c>
      <c r="B79" s="409" t="s">
        <v>121</v>
      </c>
      <c r="C79" s="409"/>
      <c r="D79" s="220" t="s">
        <v>120</v>
      </c>
      <c r="E79" s="411">
        <v>3.5</v>
      </c>
      <c r="F79" s="411"/>
      <c r="G79" s="150">
        <f>G78*E79</f>
        <v>0</v>
      </c>
      <c r="H79" s="184">
        <f t="shared" si="1"/>
        <v>2186.6</v>
      </c>
    </row>
    <row r="80" spans="1:9" ht="20.25" customHeight="1" thickBot="1" x14ac:dyDescent="0.3">
      <c r="A80" s="120">
        <v>6</v>
      </c>
      <c r="B80" s="412" t="s">
        <v>110</v>
      </c>
      <c r="C80" s="412"/>
      <c r="D80" s="218" t="s">
        <v>105</v>
      </c>
      <c r="E80" s="405"/>
      <c r="F80" s="406"/>
      <c r="G80" s="152"/>
      <c r="H80" s="185">
        <f t="shared" si="1"/>
        <v>2488.4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1" zoomScaleSheetLayoutView="100" workbookViewId="0">
      <selection activeCell="AC51" sqref="AC51:AC56"/>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57" t="s">
        <v>111</v>
      </c>
      <c r="B1" s="358"/>
      <c r="C1" s="358"/>
      <c r="D1" s="358"/>
      <c r="E1" s="358"/>
      <c r="F1" s="358"/>
      <c r="G1" s="358"/>
      <c r="H1" s="359"/>
    </row>
    <row r="2" spans="1:8" x14ac:dyDescent="0.25">
      <c r="A2" s="360"/>
      <c r="B2" s="361"/>
      <c r="C2" s="361"/>
      <c r="D2" s="361"/>
      <c r="E2" s="361"/>
      <c r="F2" s="361"/>
      <c r="G2" s="361"/>
      <c r="H2" s="362"/>
    </row>
    <row r="3" spans="1:8" x14ac:dyDescent="0.25">
      <c r="A3" s="360"/>
      <c r="B3" s="361"/>
      <c r="C3" s="361"/>
      <c r="D3" s="361"/>
      <c r="E3" s="361"/>
      <c r="F3" s="361"/>
      <c r="G3" s="361"/>
      <c r="H3" s="362"/>
    </row>
    <row r="4" spans="1:8" ht="15.75" thickBot="1" x14ac:dyDescent="0.3">
      <c r="A4" s="363"/>
      <c r="B4" s="364"/>
      <c r="C4" s="364"/>
      <c r="D4" s="364"/>
      <c r="E4" s="364"/>
      <c r="F4" s="364"/>
      <c r="G4" s="364"/>
      <c r="H4" s="365"/>
    </row>
    <row r="5" spans="1:8" ht="18.75" customHeight="1" thickTop="1" thickBot="1" x14ac:dyDescent="0.35">
      <c r="A5" s="366">
        <v>43046</v>
      </c>
      <c r="B5" s="367"/>
      <c r="C5" s="367"/>
      <c r="D5" s="367"/>
      <c r="E5" s="367"/>
      <c r="F5" s="367"/>
      <c r="G5" s="368"/>
      <c r="H5" s="178"/>
    </row>
    <row r="6" spans="1:8" ht="15.75" customHeight="1" thickTop="1" x14ac:dyDescent="0.25">
      <c r="A6" s="113" t="s">
        <v>90</v>
      </c>
      <c r="B6" s="111" t="s">
        <v>103</v>
      </c>
      <c r="C6" s="111" t="s">
        <v>104</v>
      </c>
      <c r="D6" s="111" t="s">
        <v>105</v>
      </c>
      <c r="E6" s="111" t="s">
        <v>108</v>
      </c>
      <c r="F6" s="234" t="s">
        <v>107</v>
      </c>
      <c r="G6" s="127" t="s">
        <v>122</v>
      </c>
      <c r="H6" s="178"/>
    </row>
    <row r="7" spans="1:8" ht="15" customHeight="1" x14ac:dyDescent="0.25">
      <c r="A7" s="124"/>
      <c r="B7" s="108"/>
      <c r="C7" s="108"/>
      <c r="D7" s="155">
        <f t="shared" ref="D7:D14" si="0">C7*B7</f>
        <v>0</v>
      </c>
      <c r="E7" s="155"/>
      <c r="F7" s="155"/>
      <c r="G7" s="369">
        <f>SUM(D7:D32)</f>
        <v>0</v>
      </c>
      <c r="H7" s="178"/>
    </row>
    <row r="8" spans="1:8" ht="15" customHeight="1" x14ac:dyDescent="0.25">
      <c r="A8" s="125"/>
      <c r="B8" s="108"/>
      <c r="C8" s="108"/>
      <c r="D8" s="155">
        <f t="shared" si="0"/>
        <v>0</v>
      </c>
      <c r="E8" s="155"/>
      <c r="F8" s="155"/>
      <c r="G8" s="370"/>
      <c r="H8" s="178"/>
    </row>
    <row r="9" spans="1:8" ht="15" customHeight="1" x14ac:dyDescent="0.25">
      <c r="A9" s="125"/>
      <c r="B9" s="108"/>
      <c r="C9" s="108"/>
      <c r="D9" s="155">
        <f t="shared" si="0"/>
        <v>0</v>
      </c>
      <c r="E9" s="155"/>
      <c r="F9" s="155"/>
      <c r="G9" s="370"/>
      <c r="H9" s="178"/>
    </row>
    <row r="10" spans="1:8" ht="15" customHeight="1" x14ac:dyDescent="0.25">
      <c r="A10" s="125"/>
      <c r="B10" s="108"/>
      <c r="C10" s="108"/>
      <c r="D10" s="155">
        <f t="shared" si="0"/>
        <v>0</v>
      </c>
      <c r="E10" s="155" t="s">
        <v>182</v>
      </c>
      <c r="F10" s="155"/>
      <c r="G10" s="370"/>
      <c r="H10" s="178"/>
    </row>
    <row r="11" spans="1:8" ht="15" customHeight="1" x14ac:dyDescent="0.25">
      <c r="A11" s="125"/>
      <c r="B11" s="108"/>
      <c r="C11" s="108"/>
      <c r="D11" s="155">
        <f t="shared" si="0"/>
        <v>0</v>
      </c>
      <c r="E11" s="155"/>
      <c r="F11" s="155"/>
      <c r="G11" s="370"/>
      <c r="H11" s="178"/>
    </row>
    <row r="12" spans="1:8" ht="15" customHeight="1" x14ac:dyDescent="0.25">
      <c r="A12" s="125"/>
      <c r="B12" s="108"/>
      <c r="C12" s="108"/>
      <c r="D12" s="155">
        <f t="shared" si="0"/>
        <v>0</v>
      </c>
      <c r="E12" s="155"/>
      <c r="F12" s="155"/>
      <c r="G12" s="370"/>
      <c r="H12" s="178"/>
    </row>
    <row r="13" spans="1:8" ht="15" customHeight="1" x14ac:dyDescent="0.25">
      <c r="A13" s="125"/>
      <c r="B13" s="108"/>
      <c r="C13" s="108"/>
      <c r="D13" s="155">
        <f t="shared" si="0"/>
        <v>0</v>
      </c>
      <c r="E13" s="155"/>
      <c r="F13" s="155"/>
      <c r="G13" s="370"/>
      <c r="H13" s="126"/>
    </row>
    <row r="14" spans="1:8" ht="15" customHeight="1" x14ac:dyDescent="0.25">
      <c r="A14" s="125"/>
      <c r="B14" s="108"/>
      <c r="C14" s="108"/>
      <c r="D14" s="155">
        <f t="shared" si="0"/>
        <v>0</v>
      </c>
      <c r="E14" s="155"/>
      <c r="F14" s="155"/>
      <c r="G14" s="370"/>
      <c r="H14" s="126"/>
    </row>
    <row r="15" spans="1:8" ht="15" customHeight="1" x14ac:dyDescent="0.25">
      <c r="A15" s="125"/>
      <c r="B15" s="108"/>
      <c r="C15" s="108"/>
      <c r="D15" s="155"/>
      <c r="E15" s="109"/>
      <c r="F15" s="155"/>
      <c r="G15" s="370"/>
      <c r="H15" s="126"/>
    </row>
    <row r="16" spans="1:8" ht="15" customHeight="1" x14ac:dyDescent="0.25">
      <c r="A16" s="125"/>
      <c r="B16" s="108"/>
      <c r="C16" s="108"/>
      <c r="D16" s="155"/>
      <c r="E16" s="109"/>
      <c r="F16" s="155"/>
      <c r="G16" s="370"/>
      <c r="H16" s="126"/>
    </row>
    <row r="17" spans="1:8" ht="15" customHeight="1" x14ac:dyDescent="0.25">
      <c r="A17" s="125"/>
      <c r="B17" s="108"/>
      <c r="C17" s="108"/>
      <c r="D17" s="155"/>
      <c r="E17" s="109"/>
      <c r="F17" s="155"/>
      <c r="G17" s="370"/>
      <c r="H17" s="126"/>
    </row>
    <row r="18" spans="1:8" ht="15" customHeight="1" x14ac:dyDescent="0.25">
      <c r="A18" s="125"/>
      <c r="B18" s="108"/>
      <c r="C18" s="108"/>
      <c r="D18" s="155"/>
      <c r="E18" s="109"/>
      <c r="F18" s="155"/>
      <c r="G18" s="370"/>
      <c r="H18" s="126"/>
    </row>
    <row r="19" spans="1:8" ht="15" customHeight="1" x14ac:dyDescent="0.25">
      <c r="A19" s="125"/>
      <c r="B19" s="108"/>
      <c r="C19" s="108"/>
      <c r="D19" s="155"/>
      <c r="E19" s="109"/>
      <c r="F19" s="155"/>
      <c r="G19" s="370"/>
      <c r="H19" s="126"/>
    </row>
    <row r="20" spans="1:8" ht="15" customHeight="1" x14ac:dyDescent="0.25">
      <c r="A20" s="125"/>
      <c r="B20" s="108"/>
      <c r="C20" s="108"/>
      <c r="D20" s="155"/>
      <c r="E20" s="109"/>
      <c r="F20" s="155"/>
      <c r="G20" s="370"/>
      <c r="H20" s="126"/>
    </row>
    <row r="21" spans="1:8" ht="15" customHeight="1" x14ac:dyDescent="0.25">
      <c r="A21" s="125"/>
      <c r="B21" s="108"/>
      <c r="C21" s="108"/>
      <c r="D21" s="155"/>
      <c r="E21" s="109"/>
      <c r="F21" s="155"/>
      <c r="G21" s="370"/>
      <c r="H21" s="126"/>
    </row>
    <row r="22" spans="1:8" ht="15" customHeight="1" x14ac:dyDescent="0.25">
      <c r="A22" s="125"/>
      <c r="B22" s="108"/>
      <c r="C22" s="108"/>
      <c r="D22" s="155"/>
      <c r="E22" s="109"/>
      <c r="F22" s="155"/>
      <c r="G22" s="370"/>
      <c r="H22" s="126"/>
    </row>
    <row r="23" spans="1:8" ht="15" customHeight="1" x14ac:dyDescent="0.25">
      <c r="A23" s="125"/>
      <c r="B23" s="108"/>
      <c r="C23" s="108"/>
      <c r="D23" s="155"/>
      <c r="E23" s="109"/>
      <c r="F23" s="155"/>
      <c r="G23" s="370"/>
      <c r="H23" s="126"/>
    </row>
    <row r="24" spans="1:8" ht="15" customHeight="1" x14ac:dyDescent="0.25">
      <c r="A24" s="125"/>
      <c r="B24" s="108"/>
      <c r="C24" s="108"/>
      <c r="D24" s="155"/>
      <c r="E24" s="109"/>
      <c r="F24" s="155"/>
      <c r="G24" s="370"/>
      <c r="H24" s="126"/>
    </row>
    <row r="25" spans="1:8" ht="15" customHeight="1" x14ac:dyDescent="0.25">
      <c r="A25" s="125"/>
      <c r="B25" s="108"/>
      <c r="C25" s="108"/>
      <c r="D25" s="155"/>
      <c r="E25" s="109"/>
      <c r="F25" s="155"/>
      <c r="G25" s="370"/>
      <c r="H25" s="126"/>
    </row>
    <row r="26" spans="1:8" ht="15" customHeight="1" x14ac:dyDescent="0.25">
      <c r="A26" s="125"/>
      <c r="B26" s="108"/>
      <c r="C26" s="108"/>
      <c r="D26" s="155"/>
      <c r="E26" s="109"/>
      <c r="F26" s="155"/>
      <c r="G26" s="370"/>
      <c r="H26" s="126"/>
    </row>
    <row r="27" spans="1:8" ht="15" customHeight="1" x14ac:dyDescent="0.25">
      <c r="A27" s="125"/>
      <c r="B27" s="108"/>
      <c r="C27" s="108"/>
      <c r="D27" s="155"/>
      <c r="E27" s="109"/>
      <c r="F27" s="155"/>
      <c r="G27" s="370"/>
      <c r="H27" s="126"/>
    </row>
    <row r="28" spans="1:8" ht="15" customHeight="1" x14ac:dyDescent="0.25">
      <c r="A28" s="125"/>
      <c r="B28" s="108"/>
      <c r="C28" s="108"/>
      <c r="D28" s="155"/>
      <c r="E28" s="109"/>
      <c r="F28" s="155"/>
      <c r="G28" s="370"/>
      <c r="H28" s="126"/>
    </row>
    <row r="29" spans="1:8" ht="15" customHeight="1" x14ac:dyDescent="0.25">
      <c r="A29" s="125"/>
      <c r="B29" s="108"/>
      <c r="C29" s="108"/>
      <c r="D29" s="155"/>
      <c r="E29" s="109"/>
      <c r="F29" s="155"/>
      <c r="G29" s="370"/>
      <c r="H29" s="126"/>
    </row>
    <row r="30" spans="1:8" ht="15" customHeight="1" x14ac:dyDescent="0.25">
      <c r="A30" s="125"/>
      <c r="B30" s="108"/>
      <c r="C30" s="108"/>
      <c r="D30" s="155"/>
      <c r="E30" s="109"/>
      <c r="F30" s="155"/>
      <c r="G30" s="370"/>
      <c r="H30" s="126"/>
    </row>
    <row r="31" spans="1:8" ht="15" customHeight="1" x14ac:dyDescent="0.25">
      <c r="A31" s="125"/>
      <c r="B31" s="108"/>
      <c r="C31" s="108"/>
      <c r="D31" s="155"/>
      <c r="E31" s="109"/>
      <c r="F31" s="155"/>
      <c r="G31" s="370"/>
      <c r="H31" s="126"/>
    </row>
    <row r="32" spans="1:8" ht="15" customHeight="1" x14ac:dyDescent="0.25">
      <c r="A32" s="125"/>
      <c r="B32" s="108"/>
      <c r="C32" s="108"/>
      <c r="D32" s="155"/>
      <c r="E32" s="109"/>
      <c r="F32" s="155"/>
      <c r="G32" s="370"/>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71" t="s">
        <v>128</v>
      </c>
    </row>
    <row r="40" spans="1:8" ht="15" customHeight="1" thickBot="1" x14ac:dyDescent="0.3">
      <c r="A40" s="157"/>
      <c r="B40" s="143"/>
      <c r="C40" s="143"/>
      <c r="D40" s="144"/>
      <c r="E40" s="145"/>
      <c r="F40" s="130"/>
      <c r="G40" s="174"/>
      <c r="H40" s="372"/>
    </row>
    <row r="41" spans="1:8" ht="15" customHeight="1" thickTop="1" x14ac:dyDescent="0.25">
      <c r="A41" s="156"/>
      <c r="B41" s="146"/>
      <c r="C41" s="146"/>
      <c r="D41" s="147"/>
      <c r="E41" s="148"/>
      <c r="F41" s="149"/>
      <c r="G41" s="373">
        <f>SUM(D41:D42)</f>
        <v>0</v>
      </c>
      <c r="H41" s="375">
        <f>SUM(G7:G40)</f>
        <v>0</v>
      </c>
    </row>
    <row r="42" spans="1:8" ht="15" customHeight="1" thickBot="1" x14ac:dyDescent="0.3">
      <c r="A42" s="118"/>
      <c r="B42" s="114"/>
      <c r="C42" s="114"/>
      <c r="D42" s="236"/>
      <c r="E42" s="115"/>
      <c r="F42" s="122"/>
      <c r="G42" s="374"/>
      <c r="H42" s="376"/>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77" t="str">
        <f>"QUANTIDADES RUA OPERAÇÃO TAPA BURACO NA "&amp;UPPER(E10)</f>
        <v>QUANTIDADES RUA OPERAÇÃO TAPA BURACO NA RUA ANTONIO SARKIS</v>
      </c>
      <c r="B45" s="378"/>
      <c r="C45" s="378"/>
      <c r="D45" s="378"/>
      <c r="E45" s="378"/>
      <c r="F45" s="379"/>
      <c r="G45" s="377" t="s">
        <v>136</v>
      </c>
      <c r="H45" s="379"/>
    </row>
    <row r="46" spans="1:8" ht="15.75" customHeight="1" thickBot="1" x14ac:dyDescent="0.3">
      <c r="A46" s="380"/>
      <c r="B46" s="381"/>
      <c r="C46" s="381"/>
      <c r="D46" s="381"/>
      <c r="E46" s="381"/>
      <c r="F46" s="382"/>
      <c r="G46" s="380"/>
      <c r="H46" s="382"/>
    </row>
    <row r="47" spans="1:8" ht="15" customHeight="1" thickTop="1" x14ac:dyDescent="0.25">
      <c r="A47" s="131" t="s">
        <v>102</v>
      </c>
      <c r="B47" s="383" t="s">
        <v>32</v>
      </c>
      <c r="C47" s="384"/>
      <c r="D47" s="132" t="s">
        <v>35</v>
      </c>
      <c r="E47" s="132" t="s">
        <v>124</v>
      </c>
      <c r="F47" s="133" t="s">
        <v>125</v>
      </c>
      <c r="G47" s="156"/>
      <c r="H47" s="179"/>
    </row>
    <row r="48" spans="1:8" ht="15.75" customHeight="1" x14ac:dyDescent="0.25">
      <c r="A48" s="134">
        <v>1</v>
      </c>
      <c r="B48" s="353" t="s">
        <v>106</v>
      </c>
      <c r="C48" s="354"/>
      <c r="D48" s="232" t="s">
        <v>105</v>
      </c>
      <c r="E48" s="135"/>
      <c r="F48" s="136">
        <f>G7</f>
        <v>0</v>
      </c>
      <c r="G48" s="385" t="s">
        <v>112</v>
      </c>
      <c r="H48" s="386"/>
    </row>
    <row r="49" spans="1:8" x14ac:dyDescent="0.25">
      <c r="A49" s="134">
        <v>2</v>
      </c>
      <c r="B49" s="353" t="s">
        <v>112</v>
      </c>
      <c r="C49" s="354"/>
      <c r="D49" s="232" t="s">
        <v>114</v>
      </c>
      <c r="E49" s="240" t="s">
        <v>181</v>
      </c>
      <c r="F49" s="136">
        <f>(23.3)</f>
        <v>23.3</v>
      </c>
      <c r="G49" s="355">
        <f>F49+F57</f>
        <v>23.3</v>
      </c>
      <c r="H49" s="356"/>
    </row>
    <row r="50" spans="1:8" ht="15.75" customHeight="1" x14ac:dyDescent="0.25">
      <c r="A50" s="134">
        <v>3</v>
      </c>
      <c r="B50" s="353" t="s">
        <v>113</v>
      </c>
      <c r="C50" s="354"/>
      <c r="D50" s="232" t="s">
        <v>115</v>
      </c>
      <c r="E50" s="138" t="e">
        <f>#REF!</f>
        <v>#REF!</v>
      </c>
      <c r="F50" s="136" t="e">
        <f>F49*E50</f>
        <v>#REF!</v>
      </c>
      <c r="G50" s="385" t="s">
        <v>137</v>
      </c>
      <c r="H50" s="386"/>
    </row>
    <row r="51" spans="1:8" ht="15" customHeight="1" thickBot="1" x14ac:dyDescent="0.3">
      <c r="A51" s="139">
        <v>4</v>
      </c>
      <c r="B51" s="388" t="s">
        <v>110</v>
      </c>
      <c r="C51" s="389"/>
      <c r="D51" s="233" t="s">
        <v>105</v>
      </c>
      <c r="E51" s="242"/>
      <c r="F51" s="141">
        <f>F48</f>
        <v>0</v>
      </c>
      <c r="G51" s="390" t="e">
        <f>F50+F58</f>
        <v>#REF!</v>
      </c>
      <c r="H51" s="391"/>
    </row>
    <row r="52" spans="1:8" ht="15" customHeight="1" thickTop="1" thickBot="1" x14ac:dyDescent="0.3">
      <c r="A52" s="157"/>
      <c r="B52" s="112"/>
      <c r="C52" s="112"/>
      <c r="D52" s="110"/>
      <c r="E52" s="107"/>
      <c r="F52" s="110"/>
      <c r="G52" s="230"/>
      <c r="H52" s="176"/>
    </row>
    <row r="53" spans="1:8" ht="15" customHeight="1" thickTop="1" x14ac:dyDescent="0.25">
      <c r="A53" s="392"/>
      <c r="B53" s="393"/>
      <c r="C53" s="393"/>
      <c r="D53" s="393"/>
      <c r="E53" s="393"/>
      <c r="F53" s="394"/>
      <c r="G53" s="110"/>
      <c r="H53" s="176"/>
    </row>
    <row r="54" spans="1:8" ht="15.75" customHeight="1" thickBot="1" x14ac:dyDescent="0.3">
      <c r="A54" s="395"/>
      <c r="B54" s="396"/>
      <c r="C54" s="396"/>
      <c r="D54" s="396"/>
      <c r="E54" s="396"/>
      <c r="F54" s="397"/>
      <c r="G54" s="110"/>
      <c r="H54" s="176"/>
    </row>
    <row r="55" spans="1:8" ht="15" customHeight="1" thickTop="1" x14ac:dyDescent="0.25">
      <c r="A55" s="131" t="s">
        <v>102</v>
      </c>
      <c r="B55" s="383" t="s">
        <v>32</v>
      </c>
      <c r="C55" s="384"/>
      <c r="D55" s="132" t="s">
        <v>35</v>
      </c>
      <c r="E55" s="132" t="s">
        <v>124</v>
      </c>
      <c r="F55" s="133" t="s">
        <v>125</v>
      </c>
      <c r="G55" s="230"/>
      <c r="H55" s="239"/>
    </row>
    <row r="56" spans="1:8" ht="15.75" customHeight="1" x14ac:dyDescent="0.25">
      <c r="A56" s="134">
        <v>1</v>
      </c>
      <c r="B56" s="353" t="s">
        <v>106</v>
      </c>
      <c r="C56" s="354"/>
      <c r="D56" s="232" t="s">
        <v>105</v>
      </c>
      <c r="E56" s="135"/>
      <c r="F56" s="136">
        <f>G15</f>
        <v>0</v>
      </c>
      <c r="G56" s="230"/>
      <c r="H56" s="239"/>
    </row>
    <row r="57" spans="1:8" x14ac:dyDescent="0.25">
      <c r="A57" s="134">
        <v>2</v>
      </c>
      <c r="B57" s="353" t="s">
        <v>112</v>
      </c>
      <c r="C57" s="354"/>
      <c r="D57" s="232" t="s">
        <v>114</v>
      </c>
      <c r="E57" s="240"/>
      <c r="F57" s="136">
        <f>E57</f>
        <v>0</v>
      </c>
      <c r="G57" s="230"/>
      <c r="H57" s="239"/>
    </row>
    <row r="58" spans="1:8" ht="15.75" customHeight="1" x14ac:dyDescent="0.25">
      <c r="A58" s="134">
        <v>3</v>
      </c>
      <c r="B58" s="353" t="s">
        <v>113</v>
      </c>
      <c r="C58" s="354"/>
      <c r="D58" s="232" t="s">
        <v>115</v>
      </c>
      <c r="E58" s="138"/>
      <c r="F58" s="136">
        <f>F57*E58</f>
        <v>0</v>
      </c>
      <c r="G58" s="230"/>
      <c r="H58" s="176"/>
    </row>
    <row r="59" spans="1:8" ht="15" customHeight="1" thickBot="1" x14ac:dyDescent="0.3">
      <c r="A59" s="139">
        <v>4</v>
      </c>
      <c r="B59" s="388" t="s">
        <v>110</v>
      </c>
      <c r="C59" s="389"/>
      <c r="D59" s="233" t="s">
        <v>105</v>
      </c>
      <c r="E59" s="242"/>
      <c r="F59" s="141">
        <f>F56</f>
        <v>0</v>
      </c>
      <c r="G59" s="230"/>
      <c r="H59" s="176"/>
    </row>
    <row r="60" spans="1:8" ht="15" customHeight="1" thickTop="1" x14ac:dyDescent="0.25">
      <c r="A60" s="157"/>
      <c r="B60" s="112"/>
      <c r="C60" s="112"/>
      <c r="D60" s="110"/>
      <c r="E60" s="107"/>
      <c r="F60" s="110"/>
      <c r="G60" s="230"/>
      <c r="H60" s="176"/>
    </row>
    <row r="61" spans="1:8" ht="15" customHeight="1" thickBot="1" x14ac:dyDescent="0.3">
      <c r="A61" s="129"/>
      <c r="B61" s="110"/>
      <c r="C61" s="110"/>
      <c r="D61" s="110"/>
      <c r="E61" s="107"/>
      <c r="F61" s="110"/>
      <c r="G61" s="110"/>
      <c r="H61" s="239"/>
    </row>
    <row r="62" spans="1:8" ht="15.75" customHeight="1" thickTop="1" x14ac:dyDescent="0.25">
      <c r="A62" s="392" t="s">
        <v>185</v>
      </c>
      <c r="B62" s="393"/>
      <c r="C62" s="393"/>
      <c r="D62" s="393"/>
      <c r="E62" s="393"/>
      <c r="F62" s="393"/>
      <c r="G62" s="394"/>
      <c r="H62" s="239"/>
    </row>
    <row r="63" spans="1:8" ht="15.75" thickBot="1" x14ac:dyDescent="0.3">
      <c r="A63" s="395"/>
      <c r="B63" s="396"/>
      <c r="C63" s="396"/>
      <c r="D63" s="396"/>
      <c r="E63" s="396"/>
      <c r="F63" s="396"/>
      <c r="G63" s="397"/>
      <c r="H63" s="239"/>
    </row>
    <row r="64" spans="1:8" ht="20.25" customHeight="1" thickTop="1" x14ac:dyDescent="0.25">
      <c r="A64" s="180" t="s">
        <v>102</v>
      </c>
      <c r="B64" s="387" t="s">
        <v>123</v>
      </c>
      <c r="C64" s="387"/>
      <c r="D64" s="238" t="s">
        <v>126</v>
      </c>
      <c r="E64" s="387" t="s">
        <v>124</v>
      </c>
      <c r="F64" s="387"/>
      <c r="G64" s="182" t="s">
        <v>127</v>
      </c>
      <c r="H64" s="239"/>
    </row>
    <row r="65" spans="1:9" ht="20.25" customHeight="1" x14ac:dyDescent="0.25">
      <c r="A65" s="119">
        <v>1</v>
      </c>
      <c r="B65" s="398" t="s">
        <v>109</v>
      </c>
      <c r="C65" s="398"/>
      <c r="D65" s="237" t="s">
        <v>105</v>
      </c>
      <c r="E65" s="399" t="s">
        <v>184</v>
      </c>
      <c r="F65" s="399"/>
      <c r="G65" s="216">
        <f>167*7.7+185*6.5</f>
        <v>2488.4</v>
      </c>
      <c r="H65" s="239"/>
    </row>
    <row r="66" spans="1:9" ht="27" customHeight="1" x14ac:dyDescent="0.25">
      <c r="A66" s="123">
        <v>2</v>
      </c>
      <c r="B66" s="398" t="s">
        <v>112</v>
      </c>
      <c r="C66" s="398"/>
      <c r="D66" s="237" t="s">
        <v>116</v>
      </c>
      <c r="E66" s="400" t="s">
        <v>187</v>
      </c>
      <c r="F66" s="400"/>
      <c r="G66" s="151">
        <f>23.5+27.61+22.06+20.62+22.46+22.47+21.82+21.89+26.31</f>
        <v>208.74</v>
      </c>
      <c r="H66" s="239"/>
    </row>
    <row r="67" spans="1:9" ht="20.25" customHeight="1" x14ac:dyDescent="0.25">
      <c r="A67" s="119">
        <v>3</v>
      </c>
      <c r="B67" s="398" t="s">
        <v>117</v>
      </c>
      <c r="C67" s="398"/>
      <c r="D67" s="237" t="s">
        <v>115</v>
      </c>
      <c r="E67" s="401">
        <v>7.7</v>
      </c>
      <c r="F67" s="401"/>
      <c r="G67" s="151">
        <f>G66*E67</f>
        <v>1607.298</v>
      </c>
      <c r="H67" s="239"/>
    </row>
    <row r="68" spans="1:9" ht="20.25" customHeight="1" x14ac:dyDescent="0.25">
      <c r="A68" s="119">
        <v>4</v>
      </c>
      <c r="B68" s="398" t="s">
        <v>118</v>
      </c>
      <c r="C68" s="398"/>
      <c r="D68" s="237" t="s">
        <v>119</v>
      </c>
      <c r="E68" s="402">
        <f>TRUNC(((G65*0.08)*1.8)/12,0)</f>
        <v>29</v>
      </c>
      <c r="F68" s="402"/>
      <c r="G68" s="151">
        <f>13*E68</f>
        <v>377</v>
      </c>
      <c r="H68" s="239"/>
    </row>
    <row r="69" spans="1:9" ht="20.25" customHeight="1" x14ac:dyDescent="0.25">
      <c r="A69" s="119">
        <v>5</v>
      </c>
      <c r="B69" s="398" t="s">
        <v>121</v>
      </c>
      <c r="C69" s="398"/>
      <c r="D69" s="237" t="s">
        <v>120</v>
      </c>
      <c r="E69" s="403">
        <v>5.8</v>
      </c>
      <c r="F69" s="403"/>
      <c r="G69" s="151">
        <f>G68*E69</f>
        <v>2186.6</v>
      </c>
      <c r="H69" s="239"/>
    </row>
    <row r="70" spans="1:9" ht="20.25" customHeight="1" thickBot="1" x14ac:dyDescent="0.3">
      <c r="A70" s="120">
        <v>6</v>
      </c>
      <c r="B70" s="404" t="s">
        <v>110</v>
      </c>
      <c r="C70" s="404"/>
      <c r="D70" s="241" t="s">
        <v>105</v>
      </c>
      <c r="E70" s="405" t="s">
        <v>184</v>
      </c>
      <c r="F70" s="406"/>
      <c r="G70" s="189">
        <f>167*7.7+185*6.5</f>
        <v>2488.4</v>
      </c>
      <c r="H70" s="239"/>
      <c r="I70">
        <f>G66/2.5</f>
        <v>83.496000000000009</v>
      </c>
    </row>
    <row r="71" spans="1:9" ht="16.5" thickTop="1" thickBot="1" x14ac:dyDescent="0.3">
      <c r="A71" s="129"/>
      <c r="B71" s="110"/>
      <c r="C71" s="110"/>
      <c r="D71" s="110"/>
      <c r="E71" s="107"/>
      <c r="F71" s="110"/>
      <c r="G71" s="110"/>
      <c r="H71" s="176"/>
      <c r="I71">
        <f>I70/0.04</f>
        <v>2087.4</v>
      </c>
    </row>
    <row r="72" spans="1:9" ht="15.75" customHeight="1" thickTop="1" x14ac:dyDescent="0.25">
      <c r="A72" s="392" t="s">
        <v>171</v>
      </c>
      <c r="B72" s="393"/>
      <c r="C72" s="393"/>
      <c r="D72" s="393"/>
      <c r="E72" s="393"/>
      <c r="F72" s="393"/>
      <c r="G72" s="394"/>
      <c r="H72" s="407" t="s">
        <v>154</v>
      </c>
    </row>
    <row r="73" spans="1:9" ht="15.75" thickBot="1" x14ac:dyDescent="0.3">
      <c r="A73" s="395"/>
      <c r="B73" s="396"/>
      <c r="C73" s="396"/>
      <c r="D73" s="396"/>
      <c r="E73" s="396"/>
      <c r="F73" s="396"/>
      <c r="G73" s="397"/>
      <c r="H73" s="408"/>
    </row>
    <row r="74" spans="1:9" ht="20.25" customHeight="1" thickTop="1" x14ac:dyDescent="0.25">
      <c r="A74" s="180" t="s">
        <v>102</v>
      </c>
      <c r="B74" s="387" t="s">
        <v>123</v>
      </c>
      <c r="C74" s="387"/>
      <c r="D74" s="238" t="s">
        <v>126</v>
      </c>
      <c r="E74" s="387" t="s">
        <v>124</v>
      </c>
      <c r="F74" s="387"/>
      <c r="G74" s="182" t="s">
        <v>127</v>
      </c>
      <c r="H74" s="183"/>
    </row>
    <row r="75" spans="1:9" ht="20.25" customHeight="1" x14ac:dyDescent="0.25">
      <c r="A75" s="119">
        <v>1</v>
      </c>
      <c r="B75" s="409" t="s">
        <v>109</v>
      </c>
      <c r="C75" s="409"/>
      <c r="D75" s="231" t="s">
        <v>105</v>
      </c>
      <c r="E75" s="410"/>
      <c r="F75" s="410"/>
      <c r="G75" s="150"/>
      <c r="H75" s="184">
        <f>G65+G75</f>
        <v>2488.4</v>
      </c>
    </row>
    <row r="76" spans="1:9" ht="20.25" customHeight="1" x14ac:dyDescent="0.25">
      <c r="A76" s="123">
        <v>2</v>
      </c>
      <c r="B76" s="398" t="s">
        <v>112</v>
      </c>
      <c r="C76" s="398"/>
      <c r="D76" s="237" t="s">
        <v>116</v>
      </c>
      <c r="E76" s="400"/>
      <c r="F76" s="400"/>
      <c r="G76" s="151"/>
      <c r="H76" s="184">
        <f t="shared" ref="H76:H80" si="1">G66+G76</f>
        <v>208.74</v>
      </c>
    </row>
    <row r="77" spans="1:9" ht="20.25" customHeight="1" x14ac:dyDescent="0.25">
      <c r="A77" s="119">
        <v>3</v>
      </c>
      <c r="B77" s="409" t="s">
        <v>117</v>
      </c>
      <c r="C77" s="409"/>
      <c r="D77" s="231" t="s">
        <v>115</v>
      </c>
      <c r="E77" s="413" t="e">
        <f>#REF!</f>
        <v>#REF!</v>
      </c>
      <c r="F77" s="413"/>
      <c r="G77" s="150" t="e">
        <f>G76*E77</f>
        <v>#REF!</v>
      </c>
      <c r="H77" s="184" t="e">
        <f t="shared" si="1"/>
        <v>#REF!</v>
      </c>
    </row>
    <row r="78" spans="1:9" ht="20.25" customHeight="1" x14ac:dyDescent="0.25">
      <c r="A78" s="119">
        <v>4</v>
      </c>
      <c r="B78" s="409" t="s">
        <v>118</v>
      </c>
      <c r="C78" s="409"/>
      <c r="D78" s="231" t="s">
        <v>119</v>
      </c>
      <c r="E78" s="402">
        <f>TRUNC(((G75*0.08)*1.8)/12,0)</f>
        <v>0</v>
      </c>
      <c r="F78" s="402"/>
      <c r="G78" s="150">
        <f>13*E78</f>
        <v>0</v>
      </c>
      <c r="H78" s="184">
        <f t="shared" si="1"/>
        <v>377</v>
      </c>
    </row>
    <row r="79" spans="1:9" ht="20.25" customHeight="1" x14ac:dyDescent="0.25">
      <c r="A79" s="119">
        <v>5</v>
      </c>
      <c r="B79" s="409" t="s">
        <v>121</v>
      </c>
      <c r="C79" s="409"/>
      <c r="D79" s="231" t="s">
        <v>120</v>
      </c>
      <c r="E79" s="411">
        <v>3.5</v>
      </c>
      <c r="F79" s="411"/>
      <c r="G79" s="150">
        <f>G78*E79</f>
        <v>0</v>
      </c>
      <c r="H79" s="184">
        <f t="shared" si="1"/>
        <v>2186.6</v>
      </c>
    </row>
    <row r="80" spans="1:9" ht="20.25" customHeight="1" thickBot="1" x14ac:dyDescent="0.3">
      <c r="A80" s="120">
        <v>6</v>
      </c>
      <c r="B80" s="412" t="s">
        <v>110</v>
      </c>
      <c r="C80" s="412"/>
      <c r="D80" s="235" t="s">
        <v>105</v>
      </c>
      <c r="E80" s="405"/>
      <c r="F80" s="406"/>
      <c r="G80" s="152"/>
      <c r="H80" s="185">
        <f t="shared" si="1"/>
        <v>2488.4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
  <sheetViews>
    <sheetView view="pageBreakPreview" topLeftCell="A26" zoomScale="70" zoomScaleSheetLayoutView="70" workbookViewId="0">
      <selection activeCell="E77" sqref="E77:F77"/>
    </sheetView>
  </sheetViews>
  <sheetFormatPr defaultRowHeight="15" x14ac:dyDescent="0.25"/>
  <cols>
    <col min="1" max="1" width="9.42578125" style="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57" t="s">
        <v>111</v>
      </c>
      <c r="B1" s="358"/>
      <c r="C1" s="358"/>
      <c r="D1" s="358"/>
      <c r="E1" s="358"/>
      <c r="F1" s="358"/>
      <c r="G1" s="358"/>
      <c r="H1" s="359"/>
    </row>
    <row r="2" spans="1:8" x14ac:dyDescent="0.25">
      <c r="A2" s="360"/>
      <c r="B2" s="361"/>
      <c r="C2" s="361"/>
      <c r="D2" s="361"/>
      <c r="E2" s="361"/>
      <c r="F2" s="361"/>
      <c r="G2" s="361"/>
      <c r="H2" s="362"/>
    </row>
    <row r="3" spans="1:8" x14ac:dyDescent="0.25">
      <c r="A3" s="360"/>
      <c r="B3" s="361"/>
      <c r="C3" s="361"/>
      <c r="D3" s="361"/>
      <c r="E3" s="361"/>
      <c r="F3" s="361"/>
      <c r="G3" s="361"/>
      <c r="H3" s="362"/>
    </row>
    <row r="4" spans="1:8" ht="15.75" thickBot="1" x14ac:dyDescent="0.3">
      <c r="A4" s="363"/>
      <c r="B4" s="364"/>
      <c r="C4" s="364"/>
      <c r="D4" s="364"/>
      <c r="E4" s="364"/>
      <c r="F4" s="364"/>
      <c r="G4" s="364"/>
      <c r="H4" s="365"/>
    </row>
    <row r="5" spans="1:8" ht="18.75" customHeight="1" thickTop="1" x14ac:dyDescent="0.3">
      <c r="A5" s="414">
        <v>43034</v>
      </c>
      <c r="B5" s="415"/>
      <c r="C5" s="415"/>
      <c r="D5" s="415"/>
      <c r="E5" s="415"/>
      <c r="F5" s="415"/>
      <c r="G5" s="416"/>
      <c r="H5" s="178"/>
    </row>
    <row r="6" spans="1:8" ht="18.75" customHeight="1" thickBot="1" x14ac:dyDescent="0.35">
      <c r="A6" s="419" t="s">
        <v>188</v>
      </c>
      <c r="B6" s="420"/>
      <c r="C6" s="420"/>
      <c r="D6" s="420"/>
      <c r="E6" s="420"/>
      <c r="F6" s="420"/>
      <c r="G6" s="421"/>
      <c r="H6" s="178"/>
    </row>
    <row r="7" spans="1:8" ht="15.75" customHeight="1" thickTop="1" x14ac:dyDescent="0.25">
      <c r="A7" s="113" t="s">
        <v>90</v>
      </c>
      <c r="B7" s="111" t="s">
        <v>103</v>
      </c>
      <c r="C7" s="111" t="s">
        <v>104</v>
      </c>
      <c r="D7" s="111" t="s">
        <v>105</v>
      </c>
      <c r="E7" s="111" t="s">
        <v>108</v>
      </c>
      <c r="F7" s="111" t="s">
        <v>107</v>
      </c>
      <c r="G7" s="127" t="s">
        <v>122</v>
      </c>
      <c r="H7" s="178"/>
    </row>
    <row r="8" spans="1:8" ht="15" customHeight="1" x14ac:dyDescent="0.25">
      <c r="A8" s="417"/>
      <c r="B8" s="108">
        <v>26.3</v>
      </c>
      <c r="C8" s="108">
        <v>2.5</v>
      </c>
      <c r="D8" s="155">
        <f t="shared" ref="D8:D15" si="0">C8*B8</f>
        <v>65.75</v>
      </c>
      <c r="E8" s="155" t="s">
        <v>139</v>
      </c>
      <c r="F8" s="155" t="s">
        <v>132</v>
      </c>
      <c r="G8" s="369">
        <f>SUM(D8:D15)</f>
        <v>382.45</v>
      </c>
      <c r="H8" s="178"/>
    </row>
    <row r="9" spans="1:8" ht="15" customHeight="1" x14ac:dyDescent="0.25">
      <c r="A9" s="418"/>
      <c r="B9" s="108">
        <v>22</v>
      </c>
      <c r="C9" s="108">
        <v>3.5</v>
      </c>
      <c r="D9" s="155">
        <f t="shared" si="0"/>
        <v>77</v>
      </c>
      <c r="E9" s="155" t="s">
        <v>139</v>
      </c>
      <c r="F9" s="155" t="s">
        <v>132</v>
      </c>
      <c r="G9" s="370"/>
      <c r="H9" s="178"/>
    </row>
    <row r="10" spans="1:8" ht="15" customHeight="1" x14ac:dyDescent="0.25">
      <c r="A10" s="418"/>
      <c r="B10" s="108">
        <v>12</v>
      </c>
      <c r="C10" s="108">
        <v>2.2000000000000002</v>
      </c>
      <c r="D10" s="155">
        <f t="shared" si="0"/>
        <v>26.400000000000002</v>
      </c>
      <c r="E10" s="155" t="s">
        <v>139</v>
      </c>
      <c r="F10" s="155" t="s">
        <v>132</v>
      </c>
      <c r="G10" s="370"/>
      <c r="H10" s="178"/>
    </row>
    <row r="11" spans="1:8" ht="15" customHeight="1" x14ac:dyDescent="0.25">
      <c r="A11" s="418"/>
      <c r="B11" s="108">
        <v>15</v>
      </c>
      <c r="C11" s="108">
        <v>4.0999999999999996</v>
      </c>
      <c r="D11" s="155">
        <f t="shared" si="0"/>
        <v>61.499999999999993</v>
      </c>
      <c r="E11" s="155" t="s">
        <v>139</v>
      </c>
      <c r="F11" s="155" t="s">
        <v>132</v>
      </c>
      <c r="G11" s="370"/>
      <c r="H11" s="178"/>
    </row>
    <row r="12" spans="1:8" ht="15" customHeight="1" x14ac:dyDescent="0.25">
      <c r="A12" s="418"/>
      <c r="B12" s="108">
        <v>8</v>
      </c>
      <c r="C12" s="108">
        <v>3</v>
      </c>
      <c r="D12" s="155">
        <f t="shared" si="0"/>
        <v>24</v>
      </c>
      <c r="E12" s="155" t="s">
        <v>139</v>
      </c>
      <c r="F12" s="155" t="s">
        <v>132</v>
      </c>
      <c r="G12" s="370"/>
      <c r="H12" s="178"/>
    </row>
    <row r="13" spans="1:8" ht="15" customHeight="1" x14ac:dyDescent="0.25">
      <c r="A13" s="418"/>
      <c r="B13" s="108">
        <v>10</v>
      </c>
      <c r="C13" s="108">
        <v>8</v>
      </c>
      <c r="D13" s="155">
        <f t="shared" si="0"/>
        <v>80</v>
      </c>
      <c r="E13" s="155" t="s">
        <v>139</v>
      </c>
      <c r="F13" s="155" t="s">
        <v>132</v>
      </c>
      <c r="G13" s="370"/>
      <c r="H13" s="178"/>
    </row>
    <row r="14" spans="1:8" ht="15" customHeight="1" x14ac:dyDescent="0.25">
      <c r="A14" s="418"/>
      <c r="B14" s="108">
        <v>6</v>
      </c>
      <c r="C14" s="108">
        <v>7</v>
      </c>
      <c r="D14" s="155">
        <f t="shared" si="0"/>
        <v>42</v>
      </c>
      <c r="E14" s="155" t="s">
        <v>139</v>
      </c>
      <c r="F14" s="155" t="s">
        <v>132</v>
      </c>
      <c r="G14" s="370"/>
      <c r="H14" s="126"/>
    </row>
    <row r="15" spans="1:8" ht="15" customHeight="1" x14ac:dyDescent="0.25">
      <c r="A15" s="418"/>
      <c r="B15" s="108">
        <v>2</v>
      </c>
      <c r="C15" s="108">
        <v>2.9</v>
      </c>
      <c r="D15" s="155">
        <f t="shared" si="0"/>
        <v>5.8</v>
      </c>
      <c r="E15" s="155" t="s">
        <v>139</v>
      </c>
      <c r="F15" s="155" t="s">
        <v>132</v>
      </c>
      <c r="G15" s="370"/>
      <c r="H15" s="126"/>
    </row>
    <row r="16" spans="1:8" ht="15" customHeight="1" x14ac:dyDescent="0.25">
      <c r="A16" s="157"/>
      <c r="B16" s="112"/>
      <c r="C16" s="112"/>
      <c r="D16" s="110"/>
      <c r="E16" s="107"/>
      <c r="F16" s="110"/>
      <c r="G16" s="110"/>
      <c r="H16" s="176"/>
    </row>
    <row r="17" spans="1:8" ht="15" customHeight="1" thickBot="1" x14ac:dyDescent="0.3">
      <c r="A17" s="157"/>
      <c r="B17" s="112"/>
      <c r="C17" s="112"/>
      <c r="D17" s="110"/>
      <c r="E17" s="107"/>
      <c r="F17" s="110"/>
      <c r="G17" s="110"/>
      <c r="H17" s="176"/>
    </row>
    <row r="18" spans="1:8" ht="15" customHeight="1" thickTop="1" x14ac:dyDescent="0.25">
      <c r="A18" s="377" t="str">
        <f>"QUANTIDADES RUA OPERAÇÃO TAPA BURACO NA "&amp;UPPER(E11)</f>
        <v>QUANTIDADES RUA OPERAÇÃO TAPA BURACO NA AV. MARIA DE PAIVA GARCIA</v>
      </c>
      <c r="B18" s="378"/>
      <c r="C18" s="378"/>
      <c r="D18" s="378"/>
      <c r="E18" s="378"/>
      <c r="F18" s="379"/>
      <c r="G18" s="110"/>
      <c r="H18" s="176"/>
    </row>
    <row r="19" spans="1:8" ht="15.75" customHeight="1" thickBot="1" x14ac:dyDescent="0.3">
      <c r="A19" s="380"/>
      <c r="B19" s="381"/>
      <c r="C19" s="381"/>
      <c r="D19" s="381"/>
      <c r="E19" s="381"/>
      <c r="F19" s="382"/>
      <c r="G19" s="110"/>
      <c r="H19" s="176"/>
    </row>
    <row r="20" spans="1:8" ht="15" customHeight="1" thickTop="1" x14ac:dyDescent="0.25">
      <c r="A20" s="131" t="s">
        <v>102</v>
      </c>
      <c r="B20" s="383" t="s">
        <v>32</v>
      </c>
      <c r="C20" s="384"/>
      <c r="D20" s="132" t="s">
        <v>35</v>
      </c>
      <c r="E20" s="132" t="s">
        <v>124</v>
      </c>
      <c r="F20" s="133" t="s">
        <v>125</v>
      </c>
      <c r="G20" s="158"/>
      <c r="H20" s="175"/>
    </row>
    <row r="21" spans="1:8" ht="15.75" customHeight="1" x14ac:dyDescent="0.25">
      <c r="A21" s="134">
        <v>1</v>
      </c>
      <c r="B21" s="353" t="s">
        <v>106</v>
      </c>
      <c r="C21" s="354"/>
      <c r="D21" s="160" t="s">
        <v>105</v>
      </c>
      <c r="E21" s="135"/>
      <c r="F21" s="136" t="e">
        <f>#REF!</f>
        <v>#REF!</v>
      </c>
      <c r="G21" s="158"/>
      <c r="H21" s="175"/>
    </row>
    <row r="22" spans="1:8" x14ac:dyDescent="0.25">
      <c r="A22" s="134">
        <v>2</v>
      </c>
      <c r="B22" s="353" t="s">
        <v>112</v>
      </c>
      <c r="C22" s="354"/>
      <c r="D22" s="160" t="s">
        <v>114</v>
      </c>
      <c r="E22" s="137" t="s">
        <v>129</v>
      </c>
      <c r="F22" s="136">
        <f>(18.56)</f>
        <v>18.559999999999999</v>
      </c>
      <c r="G22" s="158"/>
      <c r="H22" s="175"/>
    </row>
    <row r="23" spans="1:8" ht="15.75" customHeight="1" x14ac:dyDescent="0.25">
      <c r="A23" s="134">
        <v>3</v>
      </c>
      <c r="B23" s="353" t="s">
        <v>113</v>
      </c>
      <c r="C23" s="354"/>
      <c r="D23" s="160" t="s">
        <v>115</v>
      </c>
      <c r="E23" s="138" t="e">
        <f>#REF!</f>
        <v>#REF!</v>
      </c>
      <c r="F23" s="136" t="e">
        <f>F22*E23</f>
        <v>#REF!</v>
      </c>
      <c r="G23" s="158"/>
      <c r="H23" s="176"/>
    </row>
    <row r="24" spans="1:8" ht="15" customHeight="1" thickBot="1" x14ac:dyDescent="0.3">
      <c r="A24" s="139">
        <v>4</v>
      </c>
      <c r="B24" s="388" t="s">
        <v>110</v>
      </c>
      <c r="C24" s="389"/>
      <c r="D24" s="161" t="s">
        <v>105</v>
      </c>
      <c r="E24" s="140"/>
      <c r="F24" s="141" t="e">
        <f>F21</f>
        <v>#REF!</v>
      </c>
      <c r="G24" s="158"/>
      <c r="H24" s="176"/>
    </row>
    <row r="25" spans="1:8" ht="15" customHeight="1" thickTop="1" x14ac:dyDescent="0.25">
      <c r="A25" s="157"/>
      <c r="B25" s="112"/>
      <c r="C25" s="112"/>
      <c r="D25" s="110"/>
      <c r="E25" s="107"/>
      <c r="F25" s="110"/>
      <c r="G25" s="158"/>
      <c r="H25" s="176"/>
    </row>
    <row r="26" spans="1:8" ht="34.5" customHeight="1" x14ac:dyDescent="0.25">
      <c r="A26" s="129"/>
      <c r="B26" s="110"/>
      <c r="C26" s="110"/>
      <c r="D26" s="110"/>
      <c r="E26" s="107"/>
      <c r="F26" s="110"/>
      <c r="G26" s="110"/>
      <c r="H26" s="176"/>
    </row>
    <row r="27" spans="1:8" ht="15" customHeight="1" thickBot="1" x14ac:dyDescent="0.3">
      <c r="A27" s="129"/>
      <c r="B27" s="110"/>
      <c r="C27" s="110"/>
      <c r="D27" s="110"/>
      <c r="E27" s="107"/>
      <c r="F27" s="110"/>
      <c r="G27" s="110"/>
      <c r="H27" s="175"/>
    </row>
    <row r="28" spans="1:8" ht="15.75" customHeight="1" thickTop="1" x14ac:dyDescent="0.25">
      <c r="A28" s="392" t="s">
        <v>159</v>
      </c>
      <c r="B28" s="393"/>
      <c r="C28" s="393"/>
      <c r="D28" s="393"/>
      <c r="E28" s="393"/>
      <c r="F28" s="393"/>
      <c r="G28" s="394"/>
      <c r="H28" s="175"/>
    </row>
    <row r="29" spans="1:8" ht="15.75" thickBot="1" x14ac:dyDescent="0.3">
      <c r="A29" s="395"/>
      <c r="B29" s="396"/>
      <c r="C29" s="396"/>
      <c r="D29" s="396"/>
      <c r="E29" s="396"/>
      <c r="F29" s="396"/>
      <c r="G29" s="397"/>
      <c r="H29" s="175"/>
    </row>
    <row r="30" spans="1:8" ht="38.25" customHeight="1" thickTop="1" x14ac:dyDescent="0.25">
      <c r="A30" s="128" t="s">
        <v>102</v>
      </c>
      <c r="B30" s="422" t="s">
        <v>123</v>
      </c>
      <c r="C30" s="422"/>
      <c r="D30" s="162" t="s">
        <v>126</v>
      </c>
      <c r="E30" s="422" t="s">
        <v>124</v>
      </c>
      <c r="F30" s="422"/>
      <c r="G30" s="153" t="s">
        <v>127</v>
      </c>
      <c r="H30" s="175"/>
    </row>
    <row r="31" spans="1:8" x14ac:dyDescent="0.25">
      <c r="A31" s="119">
        <v>1</v>
      </c>
      <c r="B31" s="409" t="s">
        <v>109</v>
      </c>
      <c r="C31" s="409"/>
      <c r="D31" s="159" t="s">
        <v>105</v>
      </c>
      <c r="E31" s="410" t="s">
        <v>131</v>
      </c>
      <c r="F31" s="410"/>
      <c r="G31" s="150">
        <f>0</f>
        <v>0</v>
      </c>
      <c r="H31" s="175"/>
    </row>
    <row r="32" spans="1:8" ht="35.25" customHeight="1" x14ac:dyDescent="0.25">
      <c r="A32" s="123">
        <v>2</v>
      </c>
      <c r="B32" s="398" t="s">
        <v>112</v>
      </c>
      <c r="C32" s="398"/>
      <c r="D32" s="163" t="s">
        <v>116</v>
      </c>
      <c r="E32" s="400" t="s">
        <v>130</v>
      </c>
      <c r="F32" s="400"/>
      <c r="G32" s="151">
        <f>20.94+21.28+21.72+20.35+20.3+22.54+23.26</f>
        <v>150.38999999999999</v>
      </c>
      <c r="H32" s="175"/>
    </row>
    <row r="33" spans="1:8" x14ac:dyDescent="0.25">
      <c r="A33" s="119">
        <v>3</v>
      </c>
      <c r="B33" s="409" t="s">
        <v>117</v>
      </c>
      <c r="C33" s="409"/>
      <c r="D33" s="159" t="s">
        <v>115</v>
      </c>
      <c r="E33" s="413" t="e">
        <f>#REF!</f>
        <v>#REF!</v>
      </c>
      <c r="F33" s="413"/>
      <c r="G33" s="150" t="e">
        <f>G32*E33</f>
        <v>#REF!</v>
      </c>
      <c r="H33" s="175"/>
    </row>
    <row r="34" spans="1:8" x14ac:dyDescent="0.25">
      <c r="A34" s="119">
        <v>4</v>
      </c>
      <c r="B34" s="409" t="s">
        <v>118</v>
      </c>
      <c r="C34" s="409"/>
      <c r="D34" s="159" t="s">
        <v>119</v>
      </c>
      <c r="E34" s="425">
        <f>TRUNC(((G31*0.08)*1.8)/12,0)</f>
        <v>0</v>
      </c>
      <c r="F34" s="425"/>
      <c r="G34" s="150">
        <f>13*E34</f>
        <v>0</v>
      </c>
      <c r="H34" s="175"/>
    </row>
    <row r="35" spans="1:8" ht="15.75" customHeight="1" x14ac:dyDescent="0.25">
      <c r="A35" s="119">
        <v>5</v>
      </c>
      <c r="B35" s="409" t="s">
        <v>121</v>
      </c>
      <c r="C35" s="409"/>
      <c r="D35" s="159" t="s">
        <v>120</v>
      </c>
      <c r="E35" s="411">
        <v>0</v>
      </c>
      <c r="F35" s="411"/>
      <c r="G35" s="150">
        <f>G34*E35</f>
        <v>0</v>
      </c>
      <c r="H35" s="175"/>
    </row>
    <row r="36" spans="1:8" ht="15.75" thickBot="1" x14ac:dyDescent="0.3">
      <c r="A36" s="120">
        <v>6</v>
      </c>
      <c r="B36" s="412" t="s">
        <v>110</v>
      </c>
      <c r="C36" s="412"/>
      <c r="D36" s="164" t="s">
        <v>105</v>
      </c>
      <c r="E36" s="423" t="s">
        <v>138</v>
      </c>
      <c r="F36" s="424"/>
      <c r="G36" s="152">
        <f>198 *7.2+38*3.6</f>
        <v>1562.4</v>
      </c>
      <c r="H36" s="175"/>
    </row>
    <row r="37" spans="1:8" ht="15.75" thickTop="1" x14ac:dyDescent="0.25">
      <c r="A37" s="129"/>
      <c r="B37" s="110"/>
      <c r="C37" s="110"/>
      <c r="D37" s="110"/>
      <c r="E37" s="107"/>
      <c r="F37" s="110"/>
      <c r="G37" s="110"/>
      <c r="H37" s="176"/>
    </row>
    <row r="38" spans="1:8" ht="15.75" thickBot="1" x14ac:dyDescent="0.3">
      <c r="A38" s="142"/>
      <c r="B38" s="116"/>
      <c r="C38" s="116"/>
      <c r="D38" s="116"/>
      <c r="E38" s="117"/>
      <c r="F38" s="116"/>
      <c r="G38" s="116"/>
      <c r="H38" s="177"/>
    </row>
    <row r="39" spans="1:8" ht="15.75" thickTop="1" x14ac:dyDescent="0.25"/>
  </sheetData>
  <mergeCells count="26">
    <mergeCell ref="B36:C36"/>
    <mergeCell ref="E36:F36"/>
    <mergeCell ref="B35:C35"/>
    <mergeCell ref="E35:F35"/>
    <mergeCell ref="B32:C32"/>
    <mergeCell ref="E32:F32"/>
    <mergeCell ref="B33:C33"/>
    <mergeCell ref="E33:F33"/>
    <mergeCell ref="B34:C34"/>
    <mergeCell ref="E34:F34"/>
    <mergeCell ref="B31:C31"/>
    <mergeCell ref="E31:F31"/>
    <mergeCell ref="B22:C22"/>
    <mergeCell ref="B23:C23"/>
    <mergeCell ref="B24:C24"/>
    <mergeCell ref="A28:G29"/>
    <mergeCell ref="B30:C30"/>
    <mergeCell ref="E30:F30"/>
    <mergeCell ref="A18:F19"/>
    <mergeCell ref="B20:C20"/>
    <mergeCell ref="B21:C21"/>
    <mergeCell ref="A1:H4"/>
    <mergeCell ref="A5:G5"/>
    <mergeCell ref="G8:G15"/>
    <mergeCell ref="A8:A15"/>
    <mergeCell ref="A6:G6"/>
  </mergeCells>
  <printOptions horizontalCentered="1"/>
  <pageMargins left="0.51181102362204722" right="0.51181102362204722" top="0.39370078740157483" bottom="0.39370078740157483" header="0.11811023622047245" footer="0.11811023622047245"/>
  <pageSetup paperSize="9" scale="59" orientation="portrait" r:id="rId1"/>
  <headerFooter>
    <oddFooter>&amp;R&amp;P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17</vt:i4>
      </vt:variant>
    </vt:vector>
  </HeadingPairs>
  <TitlesOfParts>
    <vt:vector size="35" baseType="lpstr">
      <vt:lpstr>Proposta Comercia </vt:lpstr>
      <vt:lpstr>CPU-01</vt:lpstr>
      <vt:lpstr>Proposta Comercia 22% </vt:lpstr>
      <vt:lpstr>CPU-01 22%</vt:lpstr>
      <vt:lpstr>CPU-01 (2)</vt:lpstr>
      <vt:lpstr>TAPA BURACO 2023</vt:lpstr>
      <vt:lpstr>08.11</vt:lpstr>
      <vt:lpstr>09.11</vt:lpstr>
      <vt:lpstr>26.10</vt:lpstr>
      <vt:lpstr>27.10</vt:lpstr>
      <vt:lpstr>30.10</vt:lpstr>
      <vt:lpstr>31.10</vt:lpstr>
      <vt:lpstr>01.11</vt:lpstr>
      <vt:lpstr>03.11</vt:lpstr>
      <vt:lpstr>06.11</vt:lpstr>
      <vt:lpstr>07.11 </vt:lpstr>
      <vt:lpstr>Plan. Prefeitura</vt:lpstr>
      <vt:lpstr>CPU-01 MC.22%</vt:lpstr>
      <vt:lpstr>'01.11'!Area_de_impressao</vt:lpstr>
      <vt:lpstr>'03.11'!Area_de_impressao</vt:lpstr>
      <vt:lpstr>'06.11'!Area_de_impressao</vt:lpstr>
      <vt:lpstr>'07.11 '!Area_de_impressao</vt:lpstr>
      <vt:lpstr>'08.11'!Area_de_impressao</vt:lpstr>
      <vt:lpstr>'09.11'!Area_de_impressao</vt:lpstr>
      <vt:lpstr>'26.10'!Area_de_impressao</vt:lpstr>
      <vt:lpstr>'27.10'!Area_de_impressao</vt:lpstr>
      <vt:lpstr>'30.10'!Area_de_impressao</vt:lpstr>
      <vt:lpstr>'31.10'!Area_de_impressao</vt:lpstr>
      <vt:lpstr>'CPU-01'!Area_de_impressao</vt:lpstr>
      <vt:lpstr>'CPU-01 (2)'!Area_de_impressao</vt:lpstr>
      <vt:lpstr>'CPU-01 22%'!Area_de_impressao</vt:lpstr>
      <vt:lpstr>'CPU-01 MC.22%'!Area_de_impressao</vt:lpstr>
      <vt:lpstr>'TAPA BURACO 2023'!Area_de_impressao</vt:lpstr>
      <vt:lpstr>'Proposta Comercia '!Titulos_de_impressao</vt:lpstr>
      <vt:lpstr>'Proposta Comercia 22% '!Titulos_de_impressao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2022-11-04T16:43:03Z</dcterms:modified>
</cp:coreProperties>
</file>